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5386" windowWidth="18795" windowHeight="11715" tabRatio="453" activeTab="0"/>
  </bookViews>
  <sheets>
    <sheet name="форма 1" sheetId="1" r:id="rId1"/>
    <sheet name="приложение 3.1" sheetId="2" state="hidden" r:id="rId2"/>
    <sheet name="ПАСПОРТ до 11" sheetId="3" state="hidden" r:id="rId3"/>
    <sheet name="ПАСПОРТ до 12" sheetId="4" state="hidden" r:id="rId4"/>
    <sheet name="ПАСПОРТ до 14" sheetId="5" state="hidden" r:id="rId5"/>
    <sheet name="ИНДИКАТОРЫ" sheetId="6" state="hidden" r:id="rId6"/>
    <sheet name="Цел пок вар 1" sheetId="7" state="hidden" r:id="rId7"/>
    <sheet name="Цел пок вар 2" sheetId="8" state="hidden" r:id="rId8"/>
    <sheet name="эффективность" sheetId="9" state="hidden" r:id="rId9"/>
    <sheet name="Сетевой график" sheetId="10" state="hidden" r:id="rId10"/>
    <sheet name="Баланс ТР " sheetId="11" state="hidden" r:id="rId11"/>
    <sheet name="проверка" sheetId="12" state="hidden" r:id="rId12"/>
    <sheet name="проверка паспортов" sheetId="13" state="hidden" r:id="rId13"/>
    <sheet name="расчет баланса" sheetId="14" state="hidden" r:id="rId14"/>
    <sheet name="Дотационность" sheetId="15" state="hidden" r:id="rId15"/>
    <sheet name="Инвестиции" sheetId="16" state="hidden" r:id="rId16"/>
    <sheet name="Выручки" sheetId="17" state="hidden" r:id="rId17"/>
    <sheet name="Занятость" sheetId="18" state="hidden" r:id="rId18"/>
    <sheet name="Лист1" sheetId="19" r:id="rId19"/>
  </sheets>
  <externalReferences>
    <externalReference r:id="rId22"/>
    <externalReference r:id="rId23"/>
    <externalReference r:id="rId24"/>
  </externalReferences>
  <definedNames>
    <definedName name="_Toc237141928" localSheetId="5">'ИНДИКАТОРЫ'!#REF!</definedName>
    <definedName name="_xlnm.Print_Titles" localSheetId="5">'ИНДИКАТОРЫ'!$4:$5</definedName>
    <definedName name="_xlnm.Print_Titles" localSheetId="2">'ПАСПОРТ до 11'!$4:$5</definedName>
    <definedName name="_xlnm.Print_Titles" localSheetId="3">'ПАСПОРТ до 12'!$4:$5</definedName>
    <definedName name="_xlnm.Print_Titles" localSheetId="4">'ПАСПОРТ до 14'!$4:$5</definedName>
    <definedName name="_xlnm.Print_Titles" localSheetId="1">'приложение 3.1'!$11:$12</definedName>
    <definedName name="_xlnm.Print_Titles" localSheetId="0">'форма 1'!$4:$5</definedName>
    <definedName name="_xlnm.Print_Titles" localSheetId="6">'Цел пок вар 1'!$4:$5</definedName>
    <definedName name="_xlnm.Print_Titles" localSheetId="7">'Цел пок вар 2'!$4:$5</definedName>
    <definedName name="_xlnm.Print_Area" localSheetId="16">'Выручки'!$A$1:$K$58</definedName>
    <definedName name="_xlnm.Print_Area" localSheetId="14">'Дотационность'!$A$1:$I$33</definedName>
    <definedName name="_xlnm.Print_Area" localSheetId="5">'ИНДИКАТОРЫ'!$B$1:$M$29</definedName>
    <definedName name="_xlnm.Print_Area" localSheetId="3">'ПАСПОРТ до 12'!$A$1:$T$150</definedName>
    <definedName name="_xlnm.Print_Area" localSheetId="4">'ПАСПОРТ до 14'!$A$1:$T$353</definedName>
    <definedName name="_xlnm.Print_Area" localSheetId="1">'приложение 3.1'!$A$1:$N$31</definedName>
    <definedName name="_xlnm.Print_Area" localSheetId="9">'Сетевой график'!$A$1:$M$18</definedName>
    <definedName name="_xlnm.Print_Area" localSheetId="0">'форма 1'!$A$1:$AE$483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o.pronina</author>
    <author>Орлова Юлия Анатольевна</author>
  </authors>
  <commentList>
    <comment ref="B92" authorId="0">
      <text>
        <r>
          <rPr>
            <b/>
            <sz val="8"/>
            <rFont val="Tahoma"/>
            <family val="2"/>
          </rPr>
          <t>o.pronina: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Включили, так как включен в программу развития ДВиБР</t>
        </r>
      </text>
    </comment>
    <comment ref="B429" authorId="0">
      <text>
        <r>
          <rPr>
            <b/>
            <sz val="12"/>
            <rFont val="Tahoma"/>
            <family val="2"/>
          </rPr>
          <t>в культуру, ДЦП не предусмотрено</t>
        </r>
        <r>
          <rPr>
            <sz val="8"/>
            <rFont val="Tahoma"/>
            <family val="2"/>
          </rPr>
          <t xml:space="preserve">
</t>
        </r>
      </text>
    </comment>
    <comment ref="AD358" authorId="1">
      <text>
        <r>
          <rPr>
            <b/>
            <sz val="8"/>
            <rFont val="Tahoma"/>
            <family val="2"/>
          </rPr>
          <t>Орлова Юлия Анатольевна: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земельный налог 7 тыс.</t>
        </r>
      </text>
    </comment>
    <comment ref="X89" authorId="1">
      <text>
        <r>
          <t/>
        </r>
      </text>
    </comment>
    <comment ref="X90" authorId="1">
      <text>
        <r>
          <rPr>
            <b/>
            <sz val="8"/>
            <rFont val="Tahoma"/>
            <family val="2"/>
          </rPr>
          <t>Орлова Юлия Анатольевна:</t>
        </r>
        <r>
          <rPr>
            <sz val="8"/>
            <rFont val="Tahoma"/>
            <family val="2"/>
          </rPr>
          <t xml:space="preserve">
ОТЧЕТ В ОАО ОЭЗ</t>
        </r>
      </text>
    </comment>
  </commentList>
</comments>
</file>

<file path=xl/comments14.xml><?xml version="1.0" encoding="utf-8"?>
<comments xmlns="http://schemas.openxmlformats.org/spreadsheetml/2006/main">
  <authors>
    <author>user</author>
  </authors>
  <commentList>
    <comment ref="H16" authorId="0">
      <text>
        <r>
          <rPr>
            <b/>
            <sz val="10"/>
            <rFont val="Tahoma"/>
            <family val="2"/>
          </rPr>
          <t>user:</t>
        </r>
        <r>
          <rPr>
            <sz val="10"/>
            <rFont val="Tahoma"/>
            <family val="2"/>
          </rPr>
          <t xml:space="preserve">
468</t>
        </r>
      </text>
    </comment>
    <comment ref="H25" authorId="0">
      <text>
        <r>
          <rPr>
            <b/>
            <sz val="10"/>
            <rFont val="Tahoma"/>
            <family val="2"/>
          </rPr>
          <t>user:</t>
        </r>
        <r>
          <rPr>
            <sz val="10"/>
            <rFont val="Tahoma"/>
            <family val="2"/>
          </rPr>
          <t xml:space="preserve">
468</t>
        </r>
      </text>
    </comment>
    <comment ref="H35" authorId="0">
      <text>
        <r>
          <rPr>
            <b/>
            <sz val="10"/>
            <rFont val="Tahoma"/>
            <family val="2"/>
          </rPr>
          <t>user:</t>
        </r>
        <r>
          <rPr>
            <sz val="10"/>
            <rFont val="Tahoma"/>
            <family val="2"/>
          </rPr>
          <t xml:space="preserve">
468</t>
        </r>
      </text>
    </comment>
  </commentList>
</comments>
</file>

<file path=xl/comments17.xml><?xml version="1.0" encoding="utf-8"?>
<comments xmlns="http://schemas.openxmlformats.org/spreadsheetml/2006/main">
  <authors>
    <author>Гершун</author>
  </authors>
  <commentList>
    <comment ref="E34" authorId="0">
      <text>
        <r>
          <rPr>
            <b/>
            <sz val="8"/>
            <rFont val="Tahoma"/>
            <family val="2"/>
          </rPr>
          <t>Гершун:</t>
        </r>
        <r>
          <rPr>
            <sz val="8"/>
            <rFont val="Tahoma"/>
            <family val="2"/>
          </rPr>
          <t xml:space="preserve">
Воостановление производства на уровне 2008 года
</t>
        </r>
      </text>
    </comment>
    <comment ref="H4" authorId="0">
      <text>
        <r>
          <rPr>
            <b/>
            <sz val="8"/>
            <rFont val="Tahoma"/>
            <family val="2"/>
          </rPr>
          <t>Гершун:</t>
        </r>
        <r>
          <rPr>
            <sz val="8"/>
            <rFont val="Tahoma"/>
            <family val="2"/>
          </rPr>
          <t xml:space="preserve">
Это Гора Соболинная и прочие отрасли
</t>
        </r>
      </text>
    </comment>
  </commentList>
</comments>
</file>

<file path=xl/comments18.xml><?xml version="1.0" encoding="utf-8"?>
<comments xmlns="http://schemas.openxmlformats.org/spreadsheetml/2006/main">
  <authors>
    <author>Гершун</author>
  </authors>
  <commentList>
    <comment ref="O9" authorId="0">
      <text>
        <r>
          <rPr>
            <b/>
            <sz val="8"/>
            <rFont val="Tahoma"/>
            <family val="2"/>
          </rPr>
          <t>Гершун:</t>
        </r>
        <r>
          <rPr>
            <sz val="8"/>
            <rFont val="Tahoma"/>
            <family val="2"/>
          </rPr>
          <t xml:space="preserve">
бсбк перестает работать и высвобождает 1200 чел.
 </t>
        </r>
      </text>
    </comment>
  </commentList>
</comments>
</file>

<file path=xl/comments3.xml><?xml version="1.0" encoding="utf-8"?>
<comments xmlns="http://schemas.openxmlformats.org/spreadsheetml/2006/main">
  <authors>
    <author>Home</author>
    <author>Гершун</author>
  </authors>
  <commentList>
    <comment ref="U41" authorId="0">
      <text>
        <r>
          <rPr>
            <b/>
            <sz val="8"/>
            <rFont val="Tahoma"/>
            <family val="2"/>
          </rPr>
          <t>Home:</t>
        </r>
        <r>
          <rPr>
            <sz val="8"/>
            <rFont val="Tahoma"/>
            <family val="2"/>
          </rPr>
          <t xml:space="preserve">
по аналогии с байкалсан
</t>
        </r>
      </text>
    </comment>
    <comment ref="Q29" authorId="1">
      <text>
        <r>
          <rPr>
            <b/>
            <sz val="8"/>
            <rFont val="Tahoma"/>
            <family val="2"/>
          </rPr>
          <t>Гершун:</t>
        </r>
        <r>
          <rPr>
            <sz val="8"/>
            <rFont val="Tahoma"/>
            <family val="2"/>
          </rPr>
          <t xml:space="preserve">
расчетная цифра на базе проекта.
По проекту зн. 0,6 всего
</t>
        </r>
      </text>
    </comment>
    <comment ref="Q30" authorId="1">
      <text>
        <r>
          <rPr>
            <b/>
            <sz val="8"/>
            <rFont val="Tahoma"/>
            <family val="2"/>
          </rPr>
          <t>Гершун:</t>
        </r>
        <r>
          <rPr>
            <sz val="8"/>
            <rFont val="Tahoma"/>
            <family val="2"/>
          </rPr>
          <t xml:space="preserve">
расчетная цифра на базе проекта.
По проекту зн. 0,6 всего
</t>
        </r>
      </text>
    </comment>
    <comment ref="Q31" authorId="1">
      <text>
        <r>
          <rPr>
            <b/>
            <sz val="8"/>
            <rFont val="Tahoma"/>
            <family val="2"/>
          </rPr>
          <t>Гершун:</t>
        </r>
        <r>
          <rPr>
            <sz val="8"/>
            <rFont val="Tahoma"/>
            <family val="2"/>
          </rPr>
          <t xml:space="preserve">
расчетная цифра на базе проекта.
По проекту зн. 0,6 всего
</t>
        </r>
      </text>
    </comment>
    <comment ref="Q32" authorId="1">
      <text>
        <r>
          <rPr>
            <b/>
            <sz val="8"/>
            <rFont val="Tahoma"/>
            <family val="2"/>
          </rPr>
          <t>Гершун:</t>
        </r>
        <r>
          <rPr>
            <sz val="8"/>
            <rFont val="Tahoma"/>
            <family val="2"/>
          </rPr>
          <t xml:space="preserve">
расчетная цифра на базе проекта.
По проекту зн. 0,6 всего
</t>
        </r>
      </text>
    </comment>
    <comment ref="Q33" authorId="1">
      <text>
        <r>
          <rPr>
            <b/>
            <sz val="8"/>
            <rFont val="Tahoma"/>
            <family val="2"/>
          </rPr>
          <t>Гершун:</t>
        </r>
        <r>
          <rPr>
            <sz val="8"/>
            <rFont val="Tahoma"/>
            <family val="2"/>
          </rPr>
          <t xml:space="preserve">
расчетная цифра на базе проекта.
По проекту зн. 0,6 всего
</t>
        </r>
      </text>
    </comment>
    <comment ref="N35" authorId="1">
      <text>
        <r>
          <rPr>
            <b/>
            <sz val="8"/>
            <rFont val="Tahoma"/>
            <family val="2"/>
          </rPr>
          <t>Гершун:</t>
        </r>
        <r>
          <rPr>
            <sz val="8"/>
            <rFont val="Tahoma"/>
            <family val="2"/>
          </rPr>
          <t xml:space="preserve">
По презентации</t>
        </r>
      </text>
    </comment>
    <comment ref="R41" authorId="0">
      <text>
        <r>
          <rPr>
            <b/>
            <sz val="8"/>
            <rFont val="Tahoma"/>
            <family val="2"/>
          </rPr>
          <t>Home:</t>
        </r>
        <r>
          <rPr>
            <sz val="8"/>
            <rFont val="Tahoma"/>
            <family val="2"/>
          </rPr>
          <t xml:space="preserve">
РАСЧЕТНО</t>
        </r>
      </text>
    </comment>
    <comment ref="R47" authorId="1">
      <text>
        <r>
          <rPr>
            <b/>
            <sz val="8"/>
            <rFont val="Tahoma"/>
            <family val="2"/>
          </rPr>
          <t>Гершун:</t>
        </r>
        <r>
          <rPr>
            <sz val="8"/>
            <rFont val="Tahoma"/>
            <family val="2"/>
          </rPr>
          <t xml:space="preserve">
РАСЧЕТНО</t>
        </r>
      </text>
    </comment>
    <comment ref="N49" authorId="1">
      <text>
        <r>
          <rPr>
            <b/>
            <sz val="8"/>
            <rFont val="Tahoma"/>
            <family val="2"/>
          </rPr>
          <t>Гершун:</t>
        </r>
        <r>
          <rPr>
            <sz val="8"/>
            <rFont val="Tahoma"/>
            <family val="2"/>
          </rPr>
          <t xml:space="preserve">
По прпоекту!
</t>
        </r>
      </text>
    </comment>
  </commentList>
</comments>
</file>

<file path=xl/comments4.xml><?xml version="1.0" encoding="utf-8"?>
<comments xmlns="http://schemas.openxmlformats.org/spreadsheetml/2006/main">
  <authors>
    <author>Гершун</author>
  </authors>
  <commentList>
    <comment ref="Q24" authorId="0">
      <text>
        <r>
          <rPr>
            <b/>
            <sz val="8"/>
            <rFont val="Tahoma"/>
            <family val="2"/>
          </rPr>
          <t>Гершун:</t>
        </r>
        <r>
          <rPr>
            <sz val="8"/>
            <rFont val="Tahoma"/>
            <family val="2"/>
          </rPr>
          <t xml:space="preserve">
РАСЧЕТНО </t>
        </r>
      </text>
    </comment>
    <comment ref="N26" authorId="0">
      <text>
        <r>
          <rPr>
            <b/>
            <sz val="8"/>
            <rFont val="Tahoma"/>
            <family val="2"/>
          </rPr>
          <t>Гершун:</t>
        </r>
        <r>
          <rPr>
            <sz val="8"/>
            <rFont val="Tahoma"/>
            <family val="2"/>
          </rPr>
          <t xml:space="preserve">
По прпоекту!
</t>
        </r>
      </text>
    </comment>
    <comment ref="O37" authorId="0">
      <text>
        <r>
          <rPr>
            <b/>
            <sz val="8"/>
            <rFont val="Tahoma"/>
            <family val="2"/>
          </rPr>
          <t>Гершун:</t>
        </r>
        <r>
          <rPr>
            <sz val="8"/>
            <rFont val="Tahoma"/>
            <family val="2"/>
          </rPr>
          <t xml:space="preserve">
требуют уточнения
</t>
        </r>
      </text>
    </comment>
  </commentList>
</comments>
</file>

<file path=xl/comments5.xml><?xml version="1.0" encoding="utf-8"?>
<comments xmlns="http://schemas.openxmlformats.org/spreadsheetml/2006/main">
  <authors>
    <author>Home</author>
  </authors>
  <commentList>
    <comment ref="R99" authorId="0">
      <text>
        <r>
          <rPr>
            <b/>
            <sz val="8"/>
            <rFont val="Tahoma"/>
            <family val="2"/>
          </rPr>
          <t>Home:</t>
        </r>
        <r>
          <rPr>
            <sz val="8"/>
            <rFont val="Tahoma"/>
            <family val="2"/>
          </rPr>
          <t xml:space="preserve">
РАСЧЕТНО</t>
        </r>
      </text>
    </comment>
    <comment ref="R177" authorId="0">
      <text>
        <r>
          <rPr>
            <b/>
            <sz val="8"/>
            <rFont val="Tahoma"/>
            <family val="2"/>
          </rPr>
          <t>Home:</t>
        </r>
        <r>
          <rPr>
            <sz val="8"/>
            <rFont val="Tahoma"/>
            <family val="2"/>
          </rPr>
          <t xml:space="preserve">
РАСЧЕТНО</t>
        </r>
      </text>
    </comment>
    <comment ref="R183" authorId="0">
      <text>
        <r>
          <rPr>
            <b/>
            <sz val="8"/>
            <rFont val="Tahoma"/>
            <family val="2"/>
          </rPr>
          <t>Home:</t>
        </r>
        <r>
          <rPr>
            <sz val="8"/>
            <rFont val="Tahoma"/>
            <family val="2"/>
          </rPr>
          <t xml:space="preserve">
РАСЧЕТНО</t>
        </r>
      </text>
    </comment>
    <comment ref="R214" authorId="0">
      <text>
        <r>
          <rPr>
            <b/>
            <sz val="8"/>
            <rFont val="Tahoma"/>
            <family val="2"/>
          </rPr>
          <t>Home:</t>
        </r>
        <r>
          <rPr>
            <sz val="8"/>
            <rFont val="Tahoma"/>
            <family val="2"/>
          </rPr>
          <t xml:space="preserve">
РАСЧЕТНО</t>
        </r>
      </text>
    </comment>
  </commentList>
</comments>
</file>

<file path=xl/sharedStrings.xml><?xml version="1.0" encoding="utf-8"?>
<sst xmlns="http://schemas.openxmlformats.org/spreadsheetml/2006/main" count="1788" uniqueCount="873">
  <si>
    <r>
      <t xml:space="preserve">Частная (разработка </t>
    </r>
    <r>
      <rPr>
        <u val="single"/>
        <sz val="10"/>
        <rFont val="Arial"/>
        <family val="2"/>
      </rPr>
      <t>бизнес плана</t>
    </r>
    <r>
      <rPr>
        <sz val="10"/>
        <rFont val="Arial"/>
        <family val="2"/>
      </rPr>
      <t>)</t>
    </r>
  </si>
  <si>
    <t>ДЦП «Поддержка и развитие малого и среднего предпринимательства в  Иркутской области  на 2011-2013 годы»</t>
  </si>
  <si>
    <t>Строительство завода по розливу воды, реконструкция колбасного цеха, реконструкция котельной, присоединение к объектам электросетевого хозяйства</t>
  </si>
  <si>
    <t>40 мест</t>
  </si>
  <si>
    <t>Наименование мероприятия / проекта</t>
  </si>
  <si>
    <t>Наименование ДЦП, ОГЦП, ФЦП и  других механизмов, через которые планируется финансирование мероприятия / наименование инвестора</t>
  </si>
  <si>
    <t>Максимальный объем потребления электроэнергии - 15672 тыс.кВт.ч., максимальная электрическая нагрузка - 3 498 кВт</t>
  </si>
  <si>
    <t>из них: строительство инженерной и дорожно-транспортной инфраструктуры в целях реализации инвестиционных проектов в рамках индустриального парка "Байкальский"</t>
  </si>
  <si>
    <t>Частная 
(бизнес-план)</t>
  </si>
  <si>
    <t>Частная
(ПСД на стадии разработки)</t>
  </si>
  <si>
    <t>Частная 
(внесение изменений в ПСД)</t>
  </si>
  <si>
    <t>Частно-государственная
(бизнес-план)</t>
  </si>
  <si>
    <t>Частная
(уточнение ПСД)</t>
  </si>
  <si>
    <t>проекты резидентов из них:</t>
  </si>
  <si>
    <t>Частно-государственное партнерство (технико-экономическое обоснование, далее - ТЭО)</t>
  </si>
  <si>
    <t>**</t>
  </si>
  <si>
    <t>при условии финансирования из бюджетов всех уровней</t>
  </si>
  <si>
    <t>при создании ОЭЗ инвестиции до 2026 года составят 8 млрд. руб., объем частных инвестиций указан по проектам, на которые имеются потенциальные инвесторы</t>
  </si>
  <si>
    <t>75 номеров типа "люкс",
160 380 человек/
посещений ресторанного комплекса в год</t>
  </si>
  <si>
    <t xml:space="preserve">Частная
(бизнес-идея) </t>
  </si>
  <si>
    <t>Частная
(бизнес-идея, составление смет, написание бизнес-плана)</t>
  </si>
  <si>
    <t xml:space="preserve">Частная
(бизнес-план) </t>
  </si>
  <si>
    <t xml:space="preserve">Частная
(паспорт проекта) </t>
  </si>
  <si>
    <t>ООО "Сибирь"</t>
  </si>
  <si>
    <t>2014**</t>
  </si>
  <si>
    <t>1. РАЗВИТИЕ МАЛОГО И СРЕДНЕГО ПРЕДПРИНИМАТЕЛЬСТВА</t>
  </si>
  <si>
    <t>Муниципальная программа в стадии разработки</t>
  </si>
  <si>
    <t xml:space="preserve">Государственная
(бизнес-идея) </t>
  </si>
  <si>
    <r>
      <t>Частная (</t>
    </r>
    <r>
      <rPr>
        <u val="single"/>
        <sz val="10"/>
        <rFont val="Arial"/>
        <family val="2"/>
      </rPr>
      <t>паспорт проекта</t>
    </r>
    <r>
      <rPr>
        <sz val="10"/>
        <rFont val="Arial"/>
        <family val="2"/>
      </rPr>
      <t>)</t>
    </r>
  </si>
  <si>
    <r>
      <t>федеральная (</t>
    </r>
    <r>
      <rPr>
        <u val="single"/>
        <sz val="10"/>
        <rFont val="Arial"/>
        <family val="2"/>
      </rPr>
      <t>предпроектная подготовка</t>
    </r>
    <r>
      <rPr>
        <sz val="10"/>
        <rFont val="Arial"/>
        <family val="2"/>
      </rPr>
      <t>)</t>
    </r>
  </si>
  <si>
    <r>
      <t>федераль-
ная (</t>
    </r>
    <r>
      <rPr>
        <u val="single"/>
        <sz val="10"/>
        <rFont val="Arial Cyr"/>
        <family val="0"/>
      </rPr>
      <t>предпроектная</t>
    </r>
    <r>
      <rPr>
        <sz val="10"/>
        <rFont val="Arial Cyr"/>
        <family val="0"/>
      </rPr>
      <t>)</t>
    </r>
  </si>
  <si>
    <t>Заняты</t>
  </si>
  <si>
    <t>Занято  в малом бизнесе</t>
  </si>
  <si>
    <t>созданные раб места в малом бизнесе</t>
  </si>
  <si>
    <t>Среднеспислчная численнность работающих</t>
  </si>
  <si>
    <t>Создаваемые рабочие места</t>
  </si>
  <si>
    <t>Доля занятых в малом бизнесе</t>
  </si>
  <si>
    <t>численность населения</t>
  </si>
  <si>
    <t>Динамика населения</t>
  </si>
  <si>
    <t>проект ФЦП "Развитие туризма в Российской Федерации на перид до 2016 г."</t>
  </si>
  <si>
    <t>Фонд содействия реформированию жилищно-коммунального хозяйства</t>
  </si>
  <si>
    <t>Скрытые безработные</t>
  </si>
  <si>
    <t>Обустройство причала для водного транспорта</t>
  </si>
  <si>
    <t>бюджетный кредит</t>
  </si>
  <si>
    <t xml:space="preserve">причальные сооружения мощностью 250 м </t>
  </si>
  <si>
    <r>
      <t>(</t>
    </r>
    <r>
      <rPr>
        <u val="single"/>
        <sz val="10"/>
        <rFont val="Arial Cyr"/>
        <family val="0"/>
      </rPr>
      <t>предпроектная</t>
    </r>
    <r>
      <rPr>
        <sz val="10"/>
        <rFont val="Arial Cyr"/>
        <family val="0"/>
      </rPr>
      <t>)</t>
    </r>
  </si>
  <si>
    <t xml:space="preserve">Численность занятых в малом бизнесе </t>
  </si>
  <si>
    <t>чел.</t>
  </si>
  <si>
    <t>Инвестор - ООО "БГК "Гора Соболиная", средства Инвестиционного фонда РФ</t>
  </si>
  <si>
    <t>Строительство завода по производству питьевой бутилированной воды на территории Слюдянского района Иркутской области</t>
  </si>
  <si>
    <t>Инвестор ЗАО "Кю Вотер оф Байкал",с привлечением средств Инвестиционного фонда РФ</t>
  </si>
  <si>
    <t>Инвестор  ЗАО "БайкалСан", с привлечением средств Инвестиционного фонда РФ</t>
  </si>
  <si>
    <t>250 млн. литров 
в год</t>
  </si>
  <si>
    <t>1 млн. литров 
в сутки</t>
  </si>
  <si>
    <t>создание ОЭЗ инвестиции до 2026 г. составят 8 млрд. руб.</t>
  </si>
  <si>
    <t>18 млн. литров/год</t>
  </si>
  <si>
    <t>Строительство завода по розливу воды 
п Култук</t>
  </si>
  <si>
    <r>
      <t>Строительство автомобильного путепровода через железную дорогу на участке автомобильной дороги  М-55 «Байкал» км 101+650</t>
    </r>
    <r>
      <rPr>
        <sz val="10"/>
        <rFont val="Arial Cyr"/>
        <family val="0"/>
      </rPr>
      <t>.</t>
    </r>
  </si>
  <si>
    <t xml:space="preserve">Душевые бюджетные доходы  (без учета безвозмездных перечислений)                 </t>
  </si>
  <si>
    <t>ОАО "БЦБК"</t>
  </si>
  <si>
    <t>2009 г.</t>
  </si>
  <si>
    <t>по проектам</t>
  </si>
  <si>
    <t xml:space="preserve">                                                                                  </t>
  </si>
  <si>
    <t xml:space="preserve">                                                           Баланс трудовых ресурсов г. Байкальска 2007-2014 гг.</t>
  </si>
  <si>
    <t>№</t>
  </si>
  <si>
    <t>ед. измерения</t>
  </si>
  <si>
    <t>Период</t>
  </si>
  <si>
    <t>2007г.</t>
  </si>
  <si>
    <t>2008 г.</t>
  </si>
  <si>
    <t>1</t>
  </si>
  <si>
    <t>2</t>
  </si>
  <si>
    <t>Численность населения в трудоспособном возрасте</t>
  </si>
  <si>
    <t>3</t>
  </si>
  <si>
    <t>Занятых в экономике</t>
  </si>
  <si>
    <t xml:space="preserve">       в том числе:</t>
  </si>
  <si>
    <t>6</t>
  </si>
  <si>
    <t>Промышленность</t>
  </si>
  <si>
    <t>7</t>
  </si>
  <si>
    <t>8</t>
  </si>
  <si>
    <t>проч. Промышленность</t>
  </si>
  <si>
    <t>9</t>
  </si>
  <si>
    <t>Туризм</t>
  </si>
  <si>
    <t>10</t>
  </si>
  <si>
    <t>Торговля и общественное питание</t>
  </si>
  <si>
    <t>Строительство</t>
  </si>
  <si>
    <t>Индивидуальные предприниматели</t>
  </si>
  <si>
    <t>прочие</t>
  </si>
  <si>
    <t>новые места</t>
  </si>
  <si>
    <t xml:space="preserve">Прочие </t>
  </si>
  <si>
    <t xml:space="preserve">4. </t>
  </si>
  <si>
    <t>ИТОГО</t>
  </si>
  <si>
    <t>ФБ</t>
  </si>
  <si>
    <t>МБ
45,79%</t>
  </si>
  <si>
    <t>ОБ</t>
  </si>
  <si>
    <t>Признанно в установленном порядке безработными</t>
  </si>
  <si>
    <t>12</t>
  </si>
  <si>
    <t>Занятые на общественных работах</t>
  </si>
  <si>
    <t>Высвобождение раьотников</t>
  </si>
  <si>
    <t>2007 г.</t>
  </si>
  <si>
    <t>4</t>
  </si>
  <si>
    <t>5</t>
  </si>
  <si>
    <t>Высвобождение работников</t>
  </si>
  <si>
    <t>Не занятые в экономике</t>
  </si>
  <si>
    <t>УРОВЕНЬ БЮДЖЕТНОЙ ОБЕСПЕЧЕННОСТИ г. БАЙКАЛЬСКА</t>
  </si>
  <si>
    <t xml:space="preserve"> (ТЫС. РУБЛЕЙ)</t>
  </si>
  <si>
    <t>2008г.</t>
  </si>
  <si>
    <t xml:space="preserve">2009г. </t>
  </si>
  <si>
    <t>2010г.</t>
  </si>
  <si>
    <t>2011г.</t>
  </si>
  <si>
    <t>2012г.</t>
  </si>
  <si>
    <t xml:space="preserve">Доходы                                                 </t>
  </si>
  <si>
    <t xml:space="preserve">Доходы  без фонда содействия                                               </t>
  </si>
  <si>
    <t xml:space="preserve">Собственные средства                                   </t>
  </si>
  <si>
    <t xml:space="preserve">Безвозмездные перечисления из регионального  бюджета     </t>
  </si>
  <si>
    <t xml:space="preserve">Налоговые поступления в  местный бюджет от  реализации программы         </t>
  </si>
  <si>
    <t xml:space="preserve">Дотационность бюджета без учета реализации программы, % </t>
  </si>
  <si>
    <t xml:space="preserve">Дотационность бюджета с учетом реализации программы, % </t>
  </si>
  <si>
    <t xml:space="preserve">Расходы                                                </t>
  </si>
  <si>
    <t xml:space="preserve">Расходы  без фонда содействия                                              </t>
  </si>
  <si>
    <t xml:space="preserve">Душевые бюджетные доходы, рублей                       </t>
  </si>
  <si>
    <t>Планируется строительство 16 торговых объектов</t>
  </si>
  <si>
    <t>Численность населения</t>
  </si>
  <si>
    <t xml:space="preserve">Душевые бюджетные доходы  (без учета безвозмездных перечислений)    </t>
  </si>
  <si>
    <t>1 ВАР</t>
  </si>
  <si>
    <t>2 ВАР</t>
  </si>
  <si>
    <t xml:space="preserve">1 вар </t>
  </si>
  <si>
    <t xml:space="preserve">2 вар </t>
  </si>
  <si>
    <t>5. РАЗВИТИЕ СОЦИАЛЬНОЙ ИНФРАСТРУКТУРЫ</t>
  </si>
  <si>
    <t>6. РАЗВИТИЕ И МОДЕРНИЗАЦИЯ ИНЖЕНЕРНОЙ ИНФРАСТРУКТУРЫ</t>
  </si>
  <si>
    <t>6.1.  ЖИЛИЩНО-КОММУНАЛЬНОЕ ХОЗЯЙСТВО</t>
  </si>
  <si>
    <t>6.2.  РАЗВИТИЕ ТРАНСПОРТА И ИНЖЕНЕРНОЙ ИНФРАСТРУКТУРЫ</t>
  </si>
  <si>
    <t>7. ОХРАНА ОКРУЖАЮЩЕЙ СРЕДЫ</t>
  </si>
  <si>
    <t>краткосрочные</t>
  </si>
  <si>
    <t xml:space="preserve">среднесрочные </t>
  </si>
  <si>
    <t>долгосрочные</t>
  </si>
  <si>
    <t>СОБРАННОЕ ИТОГО</t>
  </si>
  <si>
    <t xml:space="preserve">РЕАЛЬНОЕ ИТОГО </t>
  </si>
  <si>
    <t>Строительство и ввод в эксплуатацию завода по производству питьевой бутилированой воды озера Байкал.</t>
  </si>
  <si>
    <r>
      <t>Внедрение тепловых насосов в схеме централизованного теплоснабжения г. Байкальска (на очистных сооружениях)</t>
    </r>
    <r>
      <rPr>
        <sz val="10"/>
        <rFont val="Arial Cyr"/>
        <family val="0"/>
      </rPr>
      <t>.</t>
    </r>
  </si>
  <si>
    <r>
      <t>Ликвидация несанкционированных свалок на побережье оз.Байкал, проведение природоохранных рейдов</t>
    </r>
    <r>
      <rPr>
        <sz val="10"/>
        <rFont val="Arial Cyr"/>
        <family val="0"/>
      </rPr>
      <t>.</t>
    </r>
  </si>
  <si>
    <t>Мониторинг состояния окружающей среды на территории объектов размещения отходов, купола загрязненных подземных вод и территории промплощадки ОАО "БЦБК".</t>
  </si>
  <si>
    <t>А.М. Пуцик</t>
  </si>
  <si>
    <r>
      <t>Ликвидация объектов размещения отходов, рекультивация нарушенных в результате размещения отходов производства земель, включая ликвидацию купола загрязненных подземных вод</t>
    </r>
    <r>
      <rPr>
        <sz val="10"/>
        <rFont val="Arial Cyr"/>
        <family val="0"/>
      </rPr>
      <t>.</t>
    </r>
  </si>
  <si>
    <t>Создание сети кафе по Слюдянскому району</t>
  </si>
  <si>
    <t>1 млрд. литров/год</t>
  </si>
  <si>
    <t>900 млн. литров/год</t>
  </si>
  <si>
    <t>Развитие системы оказания финансовой  поддержки СМСП</t>
  </si>
  <si>
    <t>ДЦП "Развитие автомобильных дорог общего пользования регионального или межмуниципального значения и местного значения в Иркутской области на 2011-2015 годы"</t>
  </si>
  <si>
    <t xml:space="preserve">Проведение капитального ремонта и ремонта  дворовых территорий многоквартирных домов населенных пунктов </t>
  </si>
  <si>
    <t>Приобретение объекта незавершенного строительства,  реконструкция  объекта (м-н Гагарина, ул.Целлюлозников,9)  для формирования жилищного фонда для работников бюджетных учреждений</t>
  </si>
  <si>
    <t>Напорный коллектор канализации от существующей камеры 1012 до очистных сооружений 
г. Байкальска</t>
  </si>
  <si>
    <t>в том числе предоставление гарантий СМСП из областного Гарантийного фонда 
(в г. Байкальске)</t>
  </si>
  <si>
    <t>Персональная работа с безработными, гражданами, поавшими в трудную жизненную ситуацию, в целях оказания содействия в трудостройстве и решении социальных проблем (социальное акушерство).</t>
  </si>
  <si>
    <t>Трудостройство 10 врачей</t>
  </si>
  <si>
    <t>Дигверцитин-11,5 т, смола лиственичная -18т, арабиногалактан - 84,2 т, пикнолар - 5,1 т, воск - 3,7 т, пектин – 1,3 т, сорбент – 0,1 т в год</t>
  </si>
  <si>
    <t>Создание центра поддержки малого и среднего предпринимательства по принципу "Одного окна"</t>
  </si>
  <si>
    <t>Микрокредитование</t>
  </si>
  <si>
    <t>Предоставление гарантий  субъектам малого и среднего предпринимательства из областного Гарантийного фонда</t>
  </si>
  <si>
    <t>Предоставление льготной аренды помещений и земельных участков</t>
  </si>
  <si>
    <t>6.3.  БЛАГОУСТРОЙСТВО И ДЖЕНТРИФИКАЦИЯ</t>
  </si>
  <si>
    <t>6.4.ГРАДОСТРОИТЕЛЬСТВО</t>
  </si>
  <si>
    <t>прочие проекты</t>
  </si>
  <si>
    <t xml:space="preserve">Предполагается направление бюджетной заявки в ФЦП "Комплексная программа реформирвоания и модернизации ЖКХ на период 2010-2020 гг." </t>
  </si>
  <si>
    <t>8. СОДЕЙСТВИЕ ЗАНЯТОСТИ НАСЕЛЕНИЯ</t>
  </si>
  <si>
    <t>6550,5*</t>
  </si>
  <si>
    <r>
      <t>муниципальная  (</t>
    </r>
    <r>
      <rPr>
        <u val="single"/>
        <sz val="10"/>
        <rFont val="Arial Cyr"/>
        <family val="0"/>
      </rPr>
      <t>предпроектная</t>
    </r>
    <r>
      <rPr>
        <sz val="10"/>
        <rFont val="Arial Cyr"/>
        <family val="0"/>
      </rPr>
      <t>)</t>
    </r>
  </si>
  <si>
    <t>Протяженность сетей 15 км (КЛ-04 Кв), 4 км (КЛ - 06 Кв)</t>
  </si>
  <si>
    <t>Реконструкция КЛ - 04 Кв, КЛ - 06 Кв г. Байкальска</t>
  </si>
  <si>
    <t>проект Программы энегосбережения и повышения энергетической эффективности РФ на период до 2020 г.</t>
  </si>
  <si>
    <t>Строительство ГПП 35/6</t>
  </si>
  <si>
    <t>Мощность понизительной подстанции 6300 КВА</t>
  </si>
  <si>
    <t>5.1</t>
  </si>
  <si>
    <t>5.2</t>
  </si>
  <si>
    <t>5.3</t>
  </si>
  <si>
    <t>5.4</t>
  </si>
  <si>
    <t xml:space="preserve">1.  РАЗВИТИЕ МЕСТНОЙ ПРОМЫШЛЕННОСТИ </t>
  </si>
  <si>
    <t>2. РАЗВИТИЕ МАЛОГО И СРЕДНЕГО ПРЕДПРИНИМАТЕЛЬСТВА</t>
  </si>
  <si>
    <t>3. СОЗДАНИЕ НОВЫХ БИЗНЕС СТРУКТУР И ПРИВЛЕЧЕНИЕ ИНВЕСТИЦИЙ</t>
  </si>
  <si>
    <t>4. РАЗВИТИЕ И МОДЕРНИЗАЦИЯ ИНЖЕНЕРНОЙ ИНФРАСТРУКТУРЫ</t>
  </si>
  <si>
    <t>4.1.  ЖИЛИЩНО-КОММУНАЛЬНОЕ ХОЗЯЙСТВО</t>
  </si>
  <si>
    <t>4.2.  РАЗВИТИЕ ТРАНСПОРТА И ИНЖЕНЕРНОЙ ИНФРАСТРУКТУРЫ</t>
  </si>
  <si>
    <t>4.3.  БЛАГОУСТРОЙСТВО И ДЖЕНТРИФИКАЦИЯ</t>
  </si>
  <si>
    <t>4. РАЗВИТИЕ СОЦИАЛЬНОЙ ИНФРАСТРУКТУРЫ</t>
  </si>
  <si>
    <t>5. РАЗВИТИЕ И МОДЕРНИЗАЦИЯ ИНЖЕНЕРНОЙ ИНФРАСТРУКТУРЫ</t>
  </si>
  <si>
    <t>5.1.  ЖИЛИЩНО-КОММУНАЛЬНОЕ ХОЗЯЙСТВО</t>
  </si>
  <si>
    <t>5.2.  РАЗВИТИЕ ТРАНСПОРТА И ИНЖЕНЕРНОЙ ИНФРАСТРУКТУРЫ</t>
  </si>
  <si>
    <t>5.3.  БЛАГОУСТРОЙСТВО И ДЖЕНТРИФИКАЦИЯ</t>
  </si>
  <si>
    <t>6. ОХРАНА ОКРУЖАЮЩЕЙ СРЕДЫ</t>
  </si>
  <si>
    <t>7. СОДЕЙСТВИЕ ЗАНЯТОСТИ НАСЕЛЕНИЯ</t>
  </si>
  <si>
    <t>3.1</t>
  </si>
  <si>
    <t>3.2</t>
  </si>
  <si>
    <t>3.4</t>
  </si>
  <si>
    <t>3.6</t>
  </si>
  <si>
    <t>3.5</t>
  </si>
  <si>
    <t xml:space="preserve">      ОАО "БЦБК"</t>
  </si>
  <si>
    <t xml:space="preserve">      прочие</t>
  </si>
  <si>
    <t xml:space="preserve">             в том числе:</t>
  </si>
  <si>
    <t>Объем выручки от реализации продукции (работ и услуг)</t>
  </si>
  <si>
    <t>Объем инвестиций в основной капитал за счет всех источников финансирования</t>
  </si>
  <si>
    <t>Сетевой график 
опережающего обучения работников в рамках Программы дополнительных мер по снижению напряженности на рынке труда
 Иркутской области  и профессиональной подготовки, переподготовки и повышения квалификации безработных граждан</t>
  </si>
  <si>
    <t>ВСЕГО</t>
  </si>
  <si>
    <t>ГОДЫ</t>
  </si>
  <si>
    <t>Высвобождено работников, чел.</t>
  </si>
  <si>
    <t>Направлено работников на профобучение, чел.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</si>
  <si>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</si>
  <si>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</si>
  <si>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</si>
  <si>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</si>
  <si>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</si>
  <si>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</si>
  <si>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</si>
  <si>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</si>
  <si>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</si>
  <si>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</si>
  <si>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</si>
  <si>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</si>
  <si>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ВСЕГО </t>
  </si>
  <si>
    <t>Факт</t>
  </si>
  <si>
    <t>План</t>
  </si>
  <si>
    <t>Доля работающих на градообразующих предприятиях от численности  населения трудоспособного возраста МО</t>
  </si>
  <si>
    <t>Доля работающих на малых предприятиях от численности населения трудоспособного возраста МО</t>
  </si>
  <si>
    <t>Уровень зарегистрированной безработицы в МО</t>
  </si>
  <si>
    <t>».</t>
  </si>
  <si>
    <t>Общее количество дополнительно созданных временных рабочих мест в период реализации проектов (накопленным итогом)</t>
  </si>
  <si>
    <t>Общее количество дополнительно созданных постоянных рабочих мест в период эксплуатации проектов (накопленным итогом)</t>
  </si>
  <si>
    <t>Среднемесячная заработная плата работников крупных и средних предприятий МО</t>
  </si>
  <si>
    <t>млн. руб.</t>
  </si>
  <si>
    <t>Объем отгруженных товаров, выполненных работ и услуг собственного производства градообразующими предприятиями</t>
  </si>
  <si>
    <t xml:space="preserve">Доля малых предприятий в общегородском объеме отгруженных товаров собственного производства организаций </t>
  </si>
  <si>
    <t>2013-2018</t>
  </si>
  <si>
    <t>Количество малых предприятий в МО</t>
  </si>
  <si>
    <t>Объем привлеченных внебюджетных инвестиций</t>
  </si>
  <si>
    <t>Общий объем дополнительных поступлений от проектов в  бюджет поселения</t>
  </si>
  <si>
    <t>Объем отгруженных товаров, выполненных работ и услуг собственного производства всего по городу</t>
  </si>
  <si>
    <t>Показатели</t>
  </si>
  <si>
    <t>Занятые в экономике</t>
  </si>
  <si>
    <t>руб</t>
  </si>
  <si>
    <t>Эффективность от реализации Плана комплексного 
социально-экономического развития г. Байкальска  на период до 2020 г.</t>
  </si>
  <si>
    <t xml:space="preserve">Текущий федеральный бюджетный эффект                   </t>
  </si>
  <si>
    <t xml:space="preserve">Интегральный федеральный бюджетный эффект              </t>
  </si>
  <si>
    <t xml:space="preserve">Налоговые поступления от реализации Плана в бюджет     </t>
  </si>
  <si>
    <t>Текущий социальный эффект от создания новых рабочих мест</t>
  </si>
  <si>
    <t>Текущий социальный эффект от сохранения имеющихся рабочих мест</t>
  </si>
  <si>
    <t>Интегральный социальный эффект всего</t>
  </si>
  <si>
    <t>Расчет социальной эффективности Плана</t>
  </si>
  <si>
    <t xml:space="preserve">Средства бюджета на безвозвратной основе  </t>
  </si>
  <si>
    <t>Расчет бюджетного эффекта для муниципального бюджета</t>
  </si>
  <si>
    <t xml:space="preserve">Текущий муниципальный бюджетный эффект                   </t>
  </si>
  <si>
    <t xml:space="preserve">Интегральный муниципальный бюджетный эффект              </t>
  </si>
  <si>
    <t xml:space="preserve">Текущий региональный бюджетный эффект                   </t>
  </si>
  <si>
    <t xml:space="preserve">Интегральный региональный бюджетный эффект              </t>
  </si>
  <si>
    <t>Расчет бюджетного эффекта для регионального бюджета</t>
  </si>
  <si>
    <t>Расчет бюджетного эффекта для федерального бюджета</t>
  </si>
  <si>
    <t>Общее количество дополнительно созданных постоянных рабочих мест в период эксплуатации проектов
(накопленный итог)</t>
  </si>
  <si>
    <t>Отрицательный бюджетный эффект для регионального и федерального бюджетов на 2013 и 2014 гг. связан с затратами на строительство инфраструктуры ОЭЗ ТРТ.</t>
  </si>
  <si>
    <t xml:space="preserve">   Примечание:</t>
  </si>
  <si>
    <t>ИНТЕГРАЛЬНЫЙ ЭФФЕКТ ВСЕГО</t>
  </si>
  <si>
    <t>Доля собственных доходов бюджета МО в общих доходах бюджета МО</t>
  </si>
  <si>
    <t>Доля градообразующего предприятия в общегородском объеме отгруженных товаров, выполненных работ и услуг собственного производства</t>
  </si>
  <si>
    <t>Целевые показатели на период до 2020 г.
Плана комплексного социально-экономического развития г. Байкальска (сценарий 2)</t>
  </si>
  <si>
    <t>Целевые показатели на период до 2020 г.
Плана комплексного социально-экономического развития г. Байкальска (сценарий 1)</t>
  </si>
  <si>
    <t>Поддержка в области подготовки, переподготовки и повышения квалификации кадров малого и среднего бизнеса</t>
  </si>
  <si>
    <t>Популяризация предпринимательской деятельности</t>
  </si>
  <si>
    <t>ДЦП «Поддержка и развитие малого и среднего предпринимательства в  муниципальном образовании Слюдянский район на 2013-2015 годы»</t>
  </si>
  <si>
    <t>Расширение сети розничной торговли</t>
  </si>
  <si>
    <t>Расширение сети общественного питания</t>
  </si>
  <si>
    <t>Расширение сети предприятий, оказывающих бытовые услуги населению</t>
  </si>
  <si>
    <t xml:space="preserve">Частная                           </t>
  </si>
  <si>
    <t>Создание бизнес-инкубатора (Байкальский муниципальный многофункциональный центр предоставления услуг)</t>
  </si>
  <si>
    <t>Открытие групп предшкольной подготовки на территории района (Слюдянское, Култукское городские поселения)</t>
  </si>
  <si>
    <t>Форма собственности (наличие проектно-сметной документации, далее - ПСД)</t>
  </si>
  <si>
    <t>кредиты коммерческих банков</t>
  </si>
  <si>
    <t>ИТОГО ПО СТРОИТЕЛЬСТВУ АВТОМОБИЛЬНЫХ ДОРОГ</t>
  </si>
  <si>
    <t>2013-2015</t>
  </si>
  <si>
    <t>Строительство спортивно-оздоровительного комплекса в г. Слюдянка  (I, II этапы строительства)</t>
  </si>
  <si>
    <t>Модернизация канализационной сети от емкости до КК 29 (301 м) в р.п. Култук</t>
  </si>
  <si>
    <t>Строительство КНС-5 и канализационной сети в р.п. Култук</t>
  </si>
  <si>
    <t xml:space="preserve">Пополнение материально-технический базы учреждений культуры </t>
  </si>
  <si>
    <t>ДЦП "Охрана окружающей среды на территории муниципального образования Слюдянский район на 2012-2015 гг."</t>
  </si>
  <si>
    <t>ООО "Байкальские макароны"</t>
  </si>
  <si>
    <t>Проектно-изыскательские работы, содержание, ремонт, обустройство федеральных дорог</t>
  </si>
  <si>
    <t>ИТОГО ПО ЖИЛИЩНО-КОММУНАЛЬНОМУ ХОЗЯЙСТВУ</t>
  </si>
  <si>
    <t>ОЦП «Переселение граждан из ветхого и аварийного жилищного фонда в Иркутской области на период до 2019 года»</t>
  </si>
  <si>
    <t>ДЦП Иркутской области «Поддержка и развитие малого и среднего предпринимательства в Иркутской области» на 2011-2013 годы</t>
  </si>
  <si>
    <t>Бурение скважин и строительство водонапорных башен в населенных пунктах</t>
  </si>
  <si>
    <t>пост</t>
  </si>
  <si>
    <t>врем</t>
  </si>
  <si>
    <t>Рабочие места</t>
  </si>
  <si>
    <t>Заработная плата</t>
  </si>
  <si>
    <t>ИПЦ</t>
  </si>
  <si>
    <t>период (мес)</t>
  </si>
  <si>
    <t>На объекте будет временно работать  до 50 чел.</t>
  </si>
  <si>
    <t xml:space="preserve">Обучение сотрудников малого бизнеса в количестве не менее 10 чел.  </t>
  </si>
  <si>
    <t>Выделение субсидий планируется в 2013 году - 102 чел., в 2014 и 2015 году ежегодно по 2 субсидии.</t>
  </si>
  <si>
    <t>Ежегодное участие в 2 выставках</t>
  </si>
  <si>
    <t>Выдача микрозаймов: 2013 год - 65,  
2014 год - 70, 
2015 год - 70</t>
  </si>
  <si>
    <t xml:space="preserve">Изготовление буклетов, проведение семинаров. </t>
  </si>
  <si>
    <t>Организация проведения обучения на базе техникума  
в г. Байкальске 
(не менее 350 человек)</t>
  </si>
  <si>
    <t>Освещение в СМИ в рамках текущей деятельности. Проведение не менее 2 конкурсов по отраслевой направленности.</t>
  </si>
  <si>
    <t>Проведение конкурса на приобретение 
1 автобуса.</t>
  </si>
  <si>
    <t>Площадь - 5000 м2, на строительстве объекта будет временно занято от 40 до 45 человек.</t>
  </si>
  <si>
    <t>Улучшение жилищных условий для 62 семей.  На объекте временно будет занято до 50 чел.</t>
  </si>
  <si>
    <t>Проект в стадии разработки. 
Создано 4 временных рабочих места.</t>
  </si>
  <si>
    <t xml:space="preserve">1600 мм, длина 6000 мм.                Временных рабочих мест - до 10 человек.
</t>
  </si>
  <si>
    <t>Муниципальная программа в стадии разработки,               8 СНТ, мощность 46,7 тыс.Квт. Создание 4 временных рабочих мест.</t>
  </si>
  <si>
    <t>380 мест.             Создание до 30 временных рабочих мест.</t>
  </si>
  <si>
    <t>50 торговых мест. Создание до 45 временных рабочих мест.</t>
  </si>
  <si>
    <t>Предоставление квартир для работников бюджетной сферы.</t>
  </si>
  <si>
    <t>ПСД имеется, создание до 15 временных рабочих мест.</t>
  </si>
  <si>
    <t>В 2012 году произведена предварительная оплата за ПСД в сумме 0,7 тыс. руб. Создание до 15 временных рабочих мест.</t>
  </si>
  <si>
    <t>Создание до 30 временных рабочих мест.</t>
  </si>
  <si>
    <t>Выполнение проектно-сметных работ.</t>
  </si>
  <si>
    <t>60,0 тыс. тонн ТБО в год. Срок эксплуатации - 
25 лет. Создание до 10 временных рабочих мест.</t>
  </si>
  <si>
    <t>Проект в стадии разработки, ориентировочная мощность                      35 куб.м /час. Создание до 12 временных рабочих мест.</t>
  </si>
  <si>
    <t>Государственный заказчик Росводресурсы. Создание до 30 временных рабочих мест.</t>
  </si>
  <si>
    <t>5 квартир. Создание до 20 временных рабочих мест.</t>
  </si>
  <si>
    <t>6 квартир. Создание до 20 временных рабочих мест.</t>
  </si>
  <si>
    <t>110 мест.            Создание временных рабочих мест-100 чел.</t>
  </si>
  <si>
    <t>600 мест.            Создание временных  рабочих мест-150 чел.</t>
  </si>
  <si>
    <t>Пропускная способность в смену 120 человек, количество смен - 2. Создание до 100 временных  рабочих мест.</t>
  </si>
  <si>
    <t>на 100 мест. Создание до 50 временных  рабочих мест.</t>
  </si>
  <si>
    <t>Строительства коттеджа на 6 ед., офис, кафе-бар и бильярдная, спортивная площадка</t>
  </si>
  <si>
    <t xml:space="preserve">Строительство и организация работы оздоровительного центра «Байкалица» 
(г. Байкальск) </t>
  </si>
  <si>
    <t>Предоставление субсидии на приобретение автобуса</t>
  </si>
  <si>
    <t>Работы проводятся согласно программам, принятым в поселениях. Создание до 15 временных рабочих мест.</t>
  </si>
  <si>
    <t>НДФЛ</t>
  </si>
  <si>
    <t>НДС</t>
  </si>
  <si>
    <t>Строительство цеха по переработке рыбы в 
г. Байкальске</t>
  </si>
  <si>
    <t>ООО "Живая вода"</t>
  </si>
  <si>
    <t>ООО "АкваСиб"</t>
  </si>
  <si>
    <t>ИТОГО ПО КУЛЬТУРЕ</t>
  </si>
  <si>
    <t>ДЦП "Социальное развитие села Иркутской области на 2011- 2014 годы"</t>
  </si>
  <si>
    <t>6. ЗДРАВООХРАНЕНИЕ</t>
  </si>
  <si>
    <t>ИТОГО ПО ЗДРАВООХРАНЕНИЮ</t>
  </si>
  <si>
    <t>ИТОГО ПО ПОТРЕБИТЕЛЬСКОМУ РЫНКУ</t>
  </si>
  <si>
    <t>ИТОГО ПО МАЛОМУ И СРЕДНЕМУ ПРЕДПРИНИМАТЕЛЬСТВУ</t>
  </si>
  <si>
    <t>ФЦП "Охрана озера Байкал и социально-экономическое развитие Байкальской природной территории на 2012-2020 годы"</t>
  </si>
  <si>
    <t>5. ОХРАНА ОКРУЖАЮЩЕЙ СРЕДЫ</t>
  </si>
  <si>
    <t>ИТОГО ПО ОХРАНЕ ОКРУЖАЮЩЕЙ СРЕДЫ</t>
  </si>
  <si>
    <t>7. ОБРАЗОВАНИЕ</t>
  </si>
  <si>
    <t xml:space="preserve">ИТОГО ПО ОБРАЗОВАНИЮ </t>
  </si>
  <si>
    <t xml:space="preserve">2013-2015 </t>
  </si>
  <si>
    <t xml:space="preserve"> 2013-2015</t>
  </si>
  <si>
    <t>ОГЦП «Поддержки и развития учреждений дошкольного образования в Иркутской области на 2009-2014 годы»</t>
  </si>
  <si>
    <t>ИТОГО ПО ФИЗИЧЕСКОЙ КУЛЬТУРЕ И СПОРТУ</t>
  </si>
  <si>
    <t>ИТОГО ПО СОДЕЙСТВИЮ ЗАНЯТОСТИ НАСЕЛЕНИЯ</t>
  </si>
  <si>
    <t>1. ПРОМЫШЛЕННОЕ ПРОИЗВОДСТВО</t>
  </si>
  <si>
    <t>Частная</t>
  </si>
  <si>
    <t>ЗАО "Новые промышленные технологии"</t>
  </si>
  <si>
    <t xml:space="preserve">Частная </t>
  </si>
  <si>
    <t>ООО "ГИД"</t>
  </si>
  <si>
    <t>ООО "БГК "Гора Соболиная"</t>
  </si>
  <si>
    <t>Целевые показатели на период до 2020 г.
Комплексного инвестиционного плана модернизации моногорода Байкальск Иркутской области на  2010-2014 годы (сценарий 1)</t>
  </si>
  <si>
    <t xml:space="preserve">Доля работающих на градообразующих предприятиях от численности  населения трудоспособного возраста </t>
  </si>
  <si>
    <t xml:space="preserve">Доля работающих на малых предприятиях от численности населения трудоспособного возраста </t>
  </si>
  <si>
    <t>Уровень зарегистрированной безработицы</t>
  </si>
  <si>
    <t xml:space="preserve">Среднемесячная заработная плата работников крупных и средних предприятий </t>
  </si>
  <si>
    <t>Объем отгруженных товаров, выполненных работ и услуг собственного производства всего по городу Байкальск</t>
  </si>
  <si>
    <t xml:space="preserve">Количество малых предприятий </t>
  </si>
  <si>
    <t>Доля собственных доходов бюджета города Байкальск в общих доходах бюджета города Байкальск</t>
  </si>
  <si>
    <t xml:space="preserve">Заместитель министра  экономического развития, труда, науки и высшей школы Иркутской области                                                          </t>
  </si>
  <si>
    <t>Приложение 3.1</t>
  </si>
  <si>
    <t>«Приложение 3.1
к комплексному инвестиционному плану модернизации моногорода Байкальск Иркутской области на  2010-2014 годы»</t>
  </si>
  <si>
    <t>к распоряжению Правительства Иркутской области от ____________2011 года №_____</t>
  </si>
  <si>
    <t>собственные средства хозяйствующих субъектов</t>
  </si>
  <si>
    <t>ИНФРАСТРУКТУРНЫЕ МЕРОПРИЯТИЯ</t>
  </si>
  <si>
    <t>ИНВЕСТИЦИОННЫЕ ПРОЕКТЫ</t>
  </si>
  <si>
    <t>ИТОГО ПО ИНФРАСТРУКТУРНЫМ МЕРОПРИЯТИЯМ</t>
  </si>
  <si>
    <t>ИТОГО ПО ИНВЕСТИЦИОННЫМ ПРОЕКТАМ</t>
  </si>
  <si>
    <t>ИТОГО ПО ПРОМЫШЛЕННОМУ ПРОИЗВОДСТВУ</t>
  </si>
  <si>
    <t>2. ТУРИЗМ</t>
  </si>
  <si>
    <t>ИТОГО ПО ТУРИЗМУ</t>
  </si>
  <si>
    <t>Срок реализации</t>
  </si>
  <si>
    <t>местный бюджет</t>
  </si>
  <si>
    <t>Наименование мероприятия</t>
  </si>
  <si>
    <t>областной бюджет</t>
  </si>
  <si>
    <t>федеральный бюджет</t>
  </si>
  <si>
    <t>№
п/п</t>
  </si>
  <si>
    <t>Итого</t>
  </si>
  <si>
    <t>МЦП "Защита окружающей среды в муниципальном образовании "Слюдянский район" на 2009-2011 годы"</t>
  </si>
  <si>
    <t>в том числе:</t>
  </si>
  <si>
    <t>Мероприятия по содействию занятости населения (активная политика)</t>
  </si>
  <si>
    <t>собственные средства предприятия</t>
  </si>
  <si>
    <t>фонд содействия реформированию ЖКХ</t>
  </si>
  <si>
    <t>3. РАЗВИТИЕ МАЛОГО И СРЕДНЕГО ПРЕДПРИНИМАТЕЛЬСТВА</t>
  </si>
  <si>
    <t>Объем финансирования, млн. рублей</t>
  </si>
  <si>
    <t>Всего</t>
  </si>
  <si>
    <t>Вклад в бюджетную систему Российской Федерации, млн. рублей</t>
  </si>
  <si>
    <t>всего</t>
  </si>
  <si>
    <t>в федеральный бюджет</t>
  </si>
  <si>
    <t>в областной бюджет</t>
  </si>
  <si>
    <t>в местный бюджет</t>
  </si>
  <si>
    <t xml:space="preserve">Наименование ОГЦП (ФЦП) и  других механизмов, через которые планируется финансирование мероприятия </t>
  </si>
  <si>
    <t>областная</t>
  </si>
  <si>
    <t xml:space="preserve"> -</t>
  </si>
  <si>
    <t xml:space="preserve"> - </t>
  </si>
  <si>
    <t>7,1 Гкал/ч</t>
  </si>
  <si>
    <t>35 тыс. тонн в год</t>
  </si>
  <si>
    <t>Экономи-ческий эффект (прибыль, млн.руб.)</t>
  </si>
  <si>
    <t>Приложение 1</t>
  </si>
  <si>
    <t>Частные инвестиции</t>
  </si>
  <si>
    <t>ФЦП "Развитие физической культуры и спорта в Российской Федерации на 2006-2015 годы"</t>
  </si>
  <si>
    <t>ООО "Байкальские росы"</t>
  </si>
  <si>
    <t>1.1</t>
  </si>
  <si>
    <t>Строительство внешнего электроснабжения</t>
  </si>
  <si>
    <t>Строительство сетей напорной канализации и сооружения на ней</t>
  </si>
  <si>
    <t>Напорная канализация протяженностью 926 м, диаметр 176/200 мм, пропускная способность -  400 м3/сут.</t>
  </si>
  <si>
    <t xml:space="preserve">Строительство подъездной автомобильной дороги IV категории  </t>
  </si>
  <si>
    <t>Автомобильная подъездная дорога IV категории 
Тип дорожной одежды – двухслойный асфальтобетон.
Протяженность дороги  - 2,5 км, 
ширина  - 10 м</t>
  </si>
  <si>
    <t>Строительство котельной с попутной выработкой электроэнергии 6,0 МВт</t>
  </si>
  <si>
    <t>Котельная с попутной выработкой электроэнергии 6,0 МВт
Тепловая мощность 5,0 Гкал/ч (в том числе собственные нужды - 2,0 Гкал/ч)</t>
  </si>
  <si>
    <t>Федеральная    ПСД на стадии разработки</t>
  </si>
  <si>
    <t>ПСД имеется</t>
  </si>
  <si>
    <t>Строительство пешеходного моста через р. Снежная в Новоснежнинском поселении</t>
  </si>
  <si>
    <t>1.2</t>
  </si>
  <si>
    <t>1.3</t>
  </si>
  <si>
    <t>1.4</t>
  </si>
  <si>
    <t>Создание индустриального парка "Байкальский" 
в п. Култук</t>
  </si>
  <si>
    <t>ликвидация несанкционированных свалок, решение с вывозом мусора</t>
  </si>
  <si>
    <t>Строительство мансардных  этажей</t>
  </si>
  <si>
    <t>ИП Погосян Г.С.</t>
  </si>
  <si>
    <t>ООО "Байкал-Премьер"</t>
  </si>
  <si>
    <t>ИП Заварзин В.В.</t>
  </si>
  <si>
    <t>Центр туризма в Байкальске</t>
  </si>
  <si>
    <t>Иркутское войсковое казачье общество "Иркутское казачье войско"</t>
  </si>
  <si>
    <t>Строительство гостиничного комплекса коттеджного типа в Слюдянском районе</t>
  </si>
  <si>
    <t>ОАО Группа "Илим"</t>
  </si>
  <si>
    <t xml:space="preserve">Строительство второй очереди завода по розливу воды </t>
  </si>
  <si>
    <t>министерство экономического развития Иркутской области</t>
  </si>
  <si>
    <t>Производство расфасованной глубинной воды (площадка ОАО БЦБК)</t>
  </si>
  <si>
    <t xml:space="preserve">Строительство завода по переработке молочной продукции </t>
  </si>
  <si>
    <t>Проект Программы мероприятий по ликвидации и утилизации накопленных отходов в результате деятельности ОАО "Байкальский ЦБК" (п.6 поручения Правительства Российской Федерации от 18.07.2009 г. № ВП-П9-26пр )</t>
  </si>
  <si>
    <t>Мощность 
(в соответ-ствующих единицах)</t>
  </si>
  <si>
    <t>Создаваемые рабочие места, ед.</t>
  </si>
  <si>
    <t>*</t>
  </si>
  <si>
    <t>ИТОГО ПО МЕРОПРИЯТИЯМ</t>
  </si>
  <si>
    <t>1.  МОДЕРНИЗАЦИЯ ГРАДООБРАЗУЮЩЕГО ПРЕДПРИЯТИЯ</t>
  </si>
  <si>
    <t>Инвестор - ООО "Лесопромышленная компания Континенталь менеджмент"</t>
  </si>
  <si>
    <t xml:space="preserve">210,9 тыс. тонн небеленной целлюлозы в год </t>
  </si>
  <si>
    <t>Инвестор - ООО "ГИД"</t>
  </si>
  <si>
    <t>104 тн. рыбы 
в год</t>
  </si>
  <si>
    <t>Инвестор - ООО "Медико-профилактический центр"</t>
  </si>
  <si>
    <t>1,46 млн. литров 
в год</t>
  </si>
  <si>
    <t xml:space="preserve">2.  РАЗВИТИЕ МЕСТНОЙ ПРОМЫШЛЕННОСТИ </t>
  </si>
  <si>
    <t>Выделение грантов на открытие бизнеса</t>
  </si>
  <si>
    <t>2010-2014</t>
  </si>
  <si>
    <t>Частные инвесторы, финансирование строительства инфраструктуры за счет федерального и областного бюджетов</t>
  </si>
  <si>
    <t>Создание коммунальной инфраструктуры: тепло -
 32200 Гкал/год, 
вода - 2000 куб.м/день, 
э/энергия 20 МВт, телекоммуникации -  210 Мбит/сек., 
14 гостиниц, 
112 коттеджей, 
4,8 тыс. мест размещения.</t>
  </si>
  <si>
    <t xml:space="preserve">Инвестор - ПБОЮЛ Сердюк Р.В. </t>
  </si>
  <si>
    <t xml:space="preserve">Инвестор - ЗАО "Спортсибстрой" </t>
  </si>
  <si>
    <t xml:space="preserve">Инвестор - ОАО "АК "Транснефть" </t>
  </si>
  <si>
    <t xml:space="preserve">Инвестор - ОАО "Группа "Илим" </t>
  </si>
  <si>
    <t>Инвестор - ООО "БГК "Гора Соболиная"</t>
  </si>
  <si>
    <t>Инвестор - ИПБОЮЛ Золотченко В.В.,</t>
  </si>
  <si>
    <t xml:space="preserve">Инвестор - ОАО "Полюс Золото", </t>
  </si>
  <si>
    <t xml:space="preserve">Инвестор - ООО "ГИД" </t>
  </si>
  <si>
    <t>36 номеров 
на 72 человека</t>
  </si>
  <si>
    <t>10 коттеджей 
на 50 мест</t>
  </si>
  <si>
    <t>Будет определено после разработки бизнес-плана</t>
  </si>
  <si>
    <t>2010-2011</t>
  </si>
  <si>
    <t>Часовая пропускная способность при 100% загрузке - 
1410 чел./час</t>
  </si>
  <si>
    <t>Туристические услуги – 2500 туристов в год</t>
  </si>
  <si>
    <t>140 мест + сопутствующая инфраструктура</t>
  </si>
  <si>
    <t>муниципальная</t>
  </si>
  <si>
    <r>
      <t>Организация общественных работ</t>
    </r>
    <r>
      <rPr>
        <sz val="10"/>
        <rFont val="Arial Cyr"/>
        <family val="0"/>
      </rPr>
      <t>.</t>
    </r>
  </si>
  <si>
    <r>
      <t>Временное трудоустройство несовершеннолетних граждан в возрасте от 14 до 18 лет</t>
    </r>
    <r>
      <rPr>
        <sz val="10"/>
        <rFont val="Arial Cyr"/>
        <family val="0"/>
      </rPr>
      <t>.</t>
    </r>
  </si>
  <si>
    <r>
      <t>Временное трудоустройство безработных граждан в возрасте от 18 до 20 лет из числа выпускников учреждений  начального и среднего профессионального образования, ищущих работу впервые</t>
    </r>
    <r>
      <rPr>
        <sz val="10"/>
        <rFont val="Arial Cyr"/>
        <family val="0"/>
      </rPr>
      <t>.</t>
    </r>
  </si>
  <si>
    <r>
      <t>Организация содействия самозанятости безработных граждан</t>
    </r>
    <r>
      <rPr>
        <sz val="10"/>
        <rFont val="Arial Cyr"/>
        <family val="0"/>
      </rPr>
      <t>.</t>
    </r>
  </si>
  <si>
    <r>
      <t>Организация временного трудоустройства безработных граждан, испытывающих трудности в поиске работы</t>
    </r>
    <r>
      <rPr>
        <sz val="10"/>
        <rFont val="Arial Cyr"/>
        <family val="0"/>
      </rPr>
      <t>.</t>
    </r>
  </si>
  <si>
    <r>
      <t>Организация профессионального обучения безработных граждан</t>
    </r>
    <r>
      <rPr>
        <sz val="10"/>
        <rFont val="Arial Cyr"/>
        <family val="0"/>
      </rPr>
      <t>.</t>
    </r>
  </si>
  <si>
    <t>Инвестор - Иркутское войсковое казачье общество "Иркутское казачье войско"</t>
  </si>
  <si>
    <t>75 номеров типа "люкс",
160380 человек/посещений ресторанного комплекса в год</t>
  </si>
  <si>
    <t>ОГЦП "Поддержка и развитие малого и среднего предпринимательства в Иркутской области» на 2008 - 2010 годы",МЦП "Поддержка и развитие малого и среднего предпринимательства в МО Слюдянский район на 2009-2011 годы" и др.</t>
  </si>
  <si>
    <t xml:space="preserve">ФЦП "Развитие транспортной системы России (2010-2015 годы)", подпрограмма "Автомобильные дороги" </t>
  </si>
  <si>
    <t>180 пм</t>
  </si>
  <si>
    <t>Запуск ОАО "БЦБК" и перепрофилирование предприятия</t>
  </si>
  <si>
    <t>Промышленное производство лекарственных препаратов на основе древесины листвинницы</t>
  </si>
  <si>
    <t xml:space="preserve">2010-2015 </t>
  </si>
  <si>
    <t>внебюджетка</t>
  </si>
  <si>
    <t>ООО Инновационная научно-производственная фирма "Химия древесины"</t>
  </si>
  <si>
    <t>кредиты коммерческих банков, гранты фондов</t>
  </si>
  <si>
    <t>Всесезонный центр туристических услуг на южном Байкале</t>
  </si>
  <si>
    <t>ООО НК "Алтекс"</t>
  </si>
  <si>
    <t>Строительство 2-х кресельных подъемников 1400 и 1700 м, 26 коттеджей гостиничного комплекса</t>
  </si>
  <si>
    <t>Подготовка интернов, обеспечение молодых специалистов жильём, доплата врачам за сложность и напряженность, оплата за последипломное обучение.</t>
  </si>
  <si>
    <t>МЦП "Обеспечение кадрами учреждений здравоохранения Слюдянского района" на 2009-2020 гг.</t>
  </si>
  <si>
    <t xml:space="preserve">Реконструкция муниципальных дорог  </t>
  </si>
  <si>
    <t>МЦП "Строительство, реконструкция и ремонт муниципальных дорог 2010-2014 гг.</t>
  </si>
  <si>
    <t>12,06 км дорог с твердым покрытием</t>
  </si>
  <si>
    <t>Реконструкция системы теплоснабжения  города</t>
  </si>
  <si>
    <t>Реконструкция хозяйственно-питьевого водоснабжения г. Байкальска</t>
  </si>
  <si>
    <t>Строительство канализационной насосной станции (КНС -1А) в микр-не Гагарина г. Байкальска</t>
  </si>
  <si>
    <t xml:space="preserve">МЦП «Оказание образовательных услуг в общеобразовательных учреждениях на 2012 – 2015 годы» </t>
  </si>
  <si>
    <t>Мониторинг состояния и использования объекта культурного наследия федерального значения Слюдянского района Иркутской области (комплекс градостроительного, архитектурного искусства)</t>
  </si>
  <si>
    <t>ФЦП "Культура России" (2012-2018 годы)</t>
  </si>
  <si>
    <t>Строительство путепровода через железную дорогу на км 2+700 автомобильной дороги "Култук-Монды"</t>
  </si>
  <si>
    <t>ДЦП "Развитие социальной и инженерной инфраструктуры муниципальных образований Иркутской области на 2010-2014 годы"</t>
  </si>
  <si>
    <t>Строительная длина участка - 2,6 км. Строительство началось в 2013 году.</t>
  </si>
  <si>
    <t>Реконструкция моста через р. М. Быстрая, 
км 21+014</t>
  </si>
  <si>
    <t>Проведение инженерных изысканий по строительству обхода дороги г. Слюдянка 
км 104+500, км 111+680</t>
  </si>
  <si>
    <t>Создание коммунальной инфраструктуры: тепло - 32200 Гкал/год, 
вода - 2000 куб.м/день, 
э/энергия 20 МВт, телекоммуникации -  210 Мбит/сек., 
14 гостиниц, 112 коттеджей, 4,8 тыс. мест размещения.</t>
  </si>
  <si>
    <t>прочие проекты:</t>
  </si>
  <si>
    <t>Устройство освещения    г. Байкальска
км 142+520, км 149+077</t>
  </si>
  <si>
    <t xml:space="preserve">Стоимость проекта 194 млн.руб.Строительство: мотели - на 50 номеров, домики - 60 шт., культурно-развлекательный комплекс и др. объекты </t>
  </si>
  <si>
    <t>200 номеров</t>
  </si>
  <si>
    <t>1.4.</t>
  </si>
  <si>
    <t>Обеспечение жильем молодых семей</t>
  </si>
  <si>
    <t xml:space="preserve">МЦП поселений  по обеспечению молодых семей жильем </t>
  </si>
  <si>
    <t xml:space="preserve">Частная        </t>
  </si>
  <si>
    <t>Изучение и формирование благоприятной среды для развития малого и среднего предпринимательства</t>
  </si>
  <si>
    <t>ДЦП "Основные направления модернизации экономики моногорода Байкальск Иркутской области на 2010-2012 годы"</t>
  </si>
  <si>
    <t>Организация повышения квалификации сотрудников организаций, образующих инфраструктуру поддержки СМСП</t>
  </si>
  <si>
    <t>Предоставление субсидий (грантов) на создание собственного бизнеса в целях возмещения затрат на государственную регистрацию юридического лица или индивидуального предпринимателя, на приобретение основных средств и производственного оборудования и др.</t>
  </si>
  <si>
    <t>ДЦП Иркутской области «Поддержка и развитие малого и среднего предпринимательства в Иркутской области» на 2011-2013 годы, ДЦП «Поддержка и развитие малого и среднего предпринимательства в  муниципальном образовании Слюдянский район на 2013-2015 годы», ДЦП "Основные направления модернизации экономики моногорода Байкальск Иркутской области на 2010-2012 годы"</t>
  </si>
  <si>
    <t>ДЦП «Транспортное обслуживание населения муниципального образования Слюдянский район на 2012-2015 годы»</t>
  </si>
  <si>
    <t>Проект программы развития электроэнергетики Иркутской области на период 2013-2017 годы. находится в стадии разработки-по инф. Байкальска Программа Моногорода 
г. Байкальска</t>
  </si>
  <si>
    <t xml:space="preserve">Муниципальная
(бизнес-идея) </t>
  </si>
  <si>
    <t>Строительство автомобильной дороги 
Р-258
"Байкал" Иркутск-Улан-Удэ-Чита на участке км 96+480 - км 100+ 000, Иркутская область"</t>
  </si>
  <si>
    <t>34 ед. контролируемых скважин</t>
  </si>
  <si>
    <t>Карта № 1 - рекультивация строительными отходами  4 - 5 тыс.т./год. Карта № 4 - рекультивация с помощью золы,  50 - 60 тыс.т./год</t>
  </si>
  <si>
    <t>объем откачанных дренажных вод около 1 200 тыс.м3/год</t>
  </si>
  <si>
    <t>в том числе, неиспользованные средства 2012 года по г. Байкальску</t>
  </si>
  <si>
    <t>1.5.</t>
  </si>
  <si>
    <t>Банкетный зал на 150 чел., гостиница класса люкс на 50 мест, благоустройство территории, кафе, 10 домов для отдыха</t>
  </si>
  <si>
    <t>70 номеров,  посещаемость - 
33 000 туристов/год</t>
  </si>
  <si>
    <t xml:space="preserve">Частная
(разработка ПСД) </t>
  </si>
  <si>
    <t xml:space="preserve">Турпоток до 10 тыс.чел./год </t>
  </si>
  <si>
    <t>25-50 тыс. тонн/год</t>
  </si>
  <si>
    <t>Реконструкция, модернизация и развитие производства макаронных, хлебобулочных и кондитерских изделий на территории 
г. Байкальска</t>
  </si>
  <si>
    <t xml:space="preserve">Строительство напорного коллектора до очистных сооружений </t>
  </si>
  <si>
    <t>Строительство канализационной насосной станции (КНС -3) в микр-не Строительный г. Байкальска</t>
  </si>
  <si>
    <t xml:space="preserve">Приобретение автобусов для осуществления внутригородских пассажирских перевозок </t>
  </si>
  <si>
    <t>Розлив питьевой воды</t>
  </si>
  <si>
    <t>Обустройство 3 км туристических троп</t>
  </si>
  <si>
    <t>частно-государственная</t>
  </si>
  <si>
    <t>приобретение 2-х автобусов на 24 пассажирских места</t>
  </si>
  <si>
    <t>Инвестор - ООО "ЦОТ"</t>
  </si>
  <si>
    <t>Бизнес-центр, конференц залы 100 и 40 человек, гостиница 25 номеров, max 100 чел</t>
  </si>
  <si>
    <t>Будет определено после завершения разработки бизнес-плана</t>
  </si>
  <si>
    <t>Инвестор -ПБОЮЛ Нурматов А.А.</t>
  </si>
  <si>
    <t>частно-муниципальная</t>
  </si>
  <si>
    <t>МЦП "Развитие городского хозяйства" на 2007-2010 гг.</t>
  </si>
  <si>
    <t>Создание единого диспетчерского пункта</t>
  </si>
  <si>
    <t>-</t>
  </si>
  <si>
    <t>1,3 км трубопровод</t>
  </si>
  <si>
    <t>2010- 2014</t>
  </si>
  <si>
    <t xml:space="preserve">Оснащение материально-технической базы медико-санитарной части города </t>
  </si>
  <si>
    <t>Капитальный ремонт комплекса зданий медико-санитарной части города</t>
  </si>
  <si>
    <t>ООО "Байкал-Инком"</t>
  </si>
  <si>
    <t>220 чел в год</t>
  </si>
  <si>
    <t>100 чел в год</t>
  </si>
  <si>
    <t>15 чел. в год</t>
  </si>
  <si>
    <t>10 чел. в год</t>
  </si>
  <si>
    <t>20 чел в год</t>
  </si>
  <si>
    <t>70 чел.</t>
  </si>
  <si>
    <t xml:space="preserve">5 мероприятий </t>
  </si>
  <si>
    <t>200 чел.в год</t>
  </si>
  <si>
    <t>1050 чел.в год</t>
  </si>
  <si>
    <t>ООО"ЦОТ"</t>
  </si>
  <si>
    <t>Модернизация хлебобулочного и кондитерского производства</t>
  </si>
  <si>
    <t>Расширение ассортимента продукции, увеличение объема выпуска до 90 тн в год</t>
  </si>
  <si>
    <t>Капитальный ремонт многоквартирных домов</t>
  </si>
  <si>
    <t>Разработка генерального плана городского поселения</t>
  </si>
  <si>
    <t>,3,2</t>
  </si>
  <si>
    <t>Испонение требования Градостроительного кодекса РФ</t>
  </si>
  <si>
    <t>генеральный план поселения</t>
  </si>
  <si>
    <t>Приобретение 127 наименований медоборудования</t>
  </si>
  <si>
    <t xml:space="preserve">Обустройство туристических троп </t>
  </si>
  <si>
    <t>Система мероприятий Плана комплексного социально-экономического развития г. Байкальска</t>
  </si>
  <si>
    <t>300 тн в месяц питевой воды</t>
  </si>
  <si>
    <t xml:space="preserve">2010-2014 </t>
  </si>
  <si>
    <t>Международный многофункциональный бизнес-центр "У озера"</t>
  </si>
  <si>
    <t xml:space="preserve">2010-2012 </t>
  </si>
  <si>
    <t>Строительство гостиницы</t>
  </si>
  <si>
    <t>Строительство санаторно-оздоровительного комплекса в г. Байкальске</t>
  </si>
  <si>
    <t>Строительство гостиничного комплекса коттеджного типа</t>
  </si>
  <si>
    <t>Строительство подвесной  пассажирской канатной дороги "Байкальск-5"</t>
  </si>
  <si>
    <t>Создание особой экономической зоны туристско-рекреационного типа</t>
  </si>
  <si>
    <t>Строительство автомобильного путепровода через железную дорогу на участке автомобильной дороги  М-55 «Байкал» км 101+700.</t>
  </si>
  <si>
    <t xml:space="preserve">Приобретение и установка КНС 1600 мм, длина 6000 мм в количестве 1шт 
</t>
  </si>
  <si>
    <t>Частная, муниципальная (жилье предостав-
ляется по договорам мены или социального найма)</t>
  </si>
  <si>
    <t>Муниципальная</t>
  </si>
  <si>
    <t>Муниципальная (по проекту имеется положительное заключение агентства государственной экспертизы в строительстве Иркутской области 
№ 97-37-0595/11 от 22.07.11г.)</t>
  </si>
  <si>
    <t>Государственная</t>
  </si>
  <si>
    <t>Федеральная</t>
  </si>
  <si>
    <t>Муниципальная (ПСД нет)</t>
  </si>
  <si>
    <t>Частная                 (ПСД нет)</t>
  </si>
  <si>
    <t>Строительство муниципального рынка в г. Байкальске</t>
  </si>
  <si>
    <t>«Подготовка объектов коммунальной инфраструктуры Иркутской области к отопительному сезону в 2013-2014 годах» ДЦП «Модернизация объектов коммунальной инфраструктуры Иркутской области на 2013– 2014 годы»</t>
  </si>
  <si>
    <t>Строительство канализационной насосной станции №3 (КНС-3А) в микрорайоне "Строитель" 
г. Байкальска</t>
  </si>
  <si>
    <t>Площадь участка: 32,1 га. Вид использования: для строительства промышленных предприятий.</t>
  </si>
  <si>
    <t>9 млн. литров/год</t>
  </si>
  <si>
    <t>104 тонны рыбы/год</t>
  </si>
  <si>
    <t>50 млн. литров/год</t>
  </si>
  <si>
    <t>Музейно-туристический комплекс "Казачий острог"</t>
  </si>
  <si>
    <t>Строительство гостиничного комплекса (г. Слюдянка)</t>
  </si>
  <si>
    <t>Строительство гостиничного комплекса (мкр. Красный Ключ, 
г. Байкальск)</t>
  </si>
  <si>
    <t>Строительство гостиничного комплекса на 200 номеров 
(г. Байкальск)</t>
  </si>
  <si>
    <t xml:space="preserve">Строительство гостиничного комплекса
(г. Байкальск) </t>
  </si>
  <si>
    <t>Создание особой экономической зоны туристско-рекреационного типа (далее - ОЭЗ)*</t>
  </si>
  <si>
    <t>2013**</t>
  </si>
  <si>
    <t>2014***</t>
  </si>
  <si>
    <t>2015***</t>
  </si>
  <si>
    <t>***</t>
  </si>
  <si>
    <t>финансирование и количество рабочих мест будут уточнены после разработки ПСД</t>
  </si>
  <si>
    <t>Переселение граждан из ветхого и аварийного жилищного фонда***</t>
  </si>
  <si>
    <t>Строительство школы на 600 мест в п. Култук***</t>
  </si>
  <si>
    <t>Организация общественных работ</t>
  </si>
  <si>
    <t>Временное трудоустройство безработных граждан в возрасте от 18 до 20 лет из числа выпускников учреждений  начального и среднего профессионального образования, ищущих работу впервые</t>
  </si>
  <si>
    <t>Организация содействия самозанятости безработных граждан</t>
  </si>
  <si>
    <t>Организация временного трудоустройства безработных граждан, испытывающих трудности в поиске работы</t>
  </si>
  <si>
    <t>Организация профессионального обучения безработных граждан</t>
  </si>
  <si>
    <t>Организация временного трудоустройства несовершеннолетних граждан в возрасте от 14 до 18 лет</t>
  </si>
  <si>
    <t>Организация профессионального  ориентация</t>
  </si>
  <si>
    <t>Ведомственная целевая программа "Содействие занятости населения Иркутской области на 2012-2014 годы"</t>
  </si>
  <si>
    <t>2015****</t>
  </si>
  <si>
    <t>****</t>
  </si>
  <si>
    <t>финансирование на 2015 год будет рассчитано в рамках программы содействия занятости будущего периода</t>
  </si>
  <si>
    <t>на 420 мест. Создание до 70 временных  рабочих мест.</t>
  </si>
  <si>
    <t>Создаваемые рабочие места, ед. (в том числе, временные)</t>
  </si>
  <si>
    <t>Участие СМСП  в международных, межрегиональных, областных выставках, ярмарках, конкурсах</t>
  </si>
  <si>
    <t xml:space="preserve"> Имущественная поддержка СМСП и организаций инфраструктуры поддержки СМСП</t>
  </si>
  <si>
    <t>Информационная и консультационная поддержка СМСП и организаций инфраструктуры поддержки</t>
  </si>
  <si>
    <t>2. ПОТРЕБИТЕЛЬСКИЙ РЫНОК</t>
  </si>
  <si>
    <t>3.  ЖИЛИЩНО-КОММУНАЛЬНОЕ ХОЗЯЙСТВО</t>
  </si>
  <si>
    <t>4.  СТРОИТЕЛЬСТВО АВТОМОБИЛЬНЫХ ДОРОГ</t>
  </si>
  <si>
    <t>8. ФИЗИЧЕСКАЯ КУЛЬТУРА И СПОРТ</t>
  </si>
  <si>
    <t xml:space="preserve">9. КУЛЬТУРА </t>
  </si>
  <si>
    <t>10. СОДЕЙСТВИЕ ЗАНЯТОСТИ НАСЕЛЕНИЯ</t>
  </si>
  <si>
    <t xml:space="preserve">Строительство полигона ТБО на территории Быстринского сельского поселения </t>
  </si>
  <si>
    <t xml:space="preserve">Перепланировка и реконструкция помещения в целях обеспечения жильем специалистов бюджетной сферы (г. Слюдянка, 
ул. Амбулаторная, № 3) </t>
  </si>
  <si>
    <t>Перепланировка и реконструкция  помещения в целях обеспечения жильем специалистов бюджетной сферы (г. Слюдянка, 
ул. Слюдянских Красногвардейцев)</t>
  </si>
  <si>
    <t>Вклад в бюджетную систему Российской Федерации,
млн. рублей</t>
  </si>
  <si>
    <t>Создание музейно-туристического комплекса "Казачий острог"</t>
  </si>
  <si>
    <t>Строительство туристического объекта – ледяной бани "Лед и пламя"</t>
  </si>
  <si>
    <t>Строительство рекреационного центра</t>
  </si>
  <si>
    <t>Создание центра туризма в г. Байкальске</t>
  </si>
  <si>
    <t>Центр комплексных услуг (станция технического обслуживания автомобилей, гостиница, кафе и др.)</t>
  </si>
  <si>
    <t>Сеть кафе (10 ед.) на 200 посадочных мест всего</t>
  </si>
  <si>
    <t>Развитие инфраструктуры потребительского рынка (расширение сети розничной и оптовой торговли,  бытовых услуг)</t>
  </si>
  <si>
    <t>Строительство цеха по переработке рыбы в г.Байкальске</t>
  </si>
  <si>
    <t>Производство препарата "Кедровое молочко"</t>
  </si>
  <si>
    <t>2011-2014</t>
  </si>
  <si>
    <t>Увеличение количества пребываний в городе до 5 тыс. человек на событие</t>
  </si>
  <si>
    <t>Развитие событийного туризма ( преведение фестивалей, соревнований, конференций)</t>
  </si>
  <si>
    <t>Сохранение рабочих мест и стимулирвоание развитие потребительского рынка и торговли</t>
  </si>
  <si>
    <t>ИТОГО ПО РАЗДЕЛУ</t>
  </si>
  <si>
    <t>ИТОГО ПО ПОДРАЗДЕЛУ</t>
  </si>
  <si>
    <t>Предполагается направление бюджетной заявки в проект Государственной программы энегосбережения и повышения энергетической эффективности РФ на период до 2020 года (программа  разрабатывается в соотв. с поручением Президента РФ  от 15.06.2009 г. № Пр-1802-ГС, финансирование программы начнется с 2010 г.)</t>
  </si>
  <si>
    <t>частная, муниципальная (жилье предоставляется по договорам мены или социального найма)</t>
  </si>
  <si>
    <t>Ремонт фасадов и зданий</t>
  </si>
  <si>
    <t>Освещение улиц</t>
  </si>
  <si>
    <t>Реконструкция малых скульптурных форм</t>
  </si>
  <si>
    <t>Строительство гостиничного комплекса "Белый Соболь" 
(г. Байкальск)</t>
  </si>
  <si>
    <t>Озеленение и реконструкция скверов</t>
  </si>
  <si>
    <t>Примечание:</t>
  </si>
  <si>
    <t>Профессиональная ориентация</t>
  </si>
  <si>
    <t>Социальная адаптация</t>
  </si>
  <si>
    <t>Организация ярмарок вакансий и учебных рабочих мест</t>
  </si>
  <si>
    <t>4. СОЗДАНИЕ НОВЫХ БИЗНЕС СТРУКТУР И ПРИВЛЕЧЕНИЕ ИНВЕСТИЦИЙ</t>
  </si>
  <si>
    <t>ФГУ Востсибрегионводхоз</t>
  </si>
  <si>
    <t>Строительство офиса ФГУ "Востсибрегионводхоз"</t>
  </si>
  <si>
    <t>Реализация мероприятий по ликвидации негативного воздействия отходов, накопленных в результате деятельности  ОАО "Байкальский ЦБК"</t>
  </si>
  <si>
    <t xml:space="preserve">                            Долгосрочная целевая программа Иркутской области "Чистая вода" на 2012 - 2014 годы 
</t>
  </si>
  <si>
    <t>Разработка и утверждение схем тепло-, водоснабжения и водоотведения муниципальных образований Слюдянского района</t>
  </si>
  <si>
    <t>МЦП (Развитие коммунальной инфраструктуры муниципальных образований)</t>
  </si>
  <si>
    <t>Устройство перильного ограждения г. Слюдянка</t>
  </si>
  <si>
    <t>Центр по обслуживанию автомобилей с годовым объемом 350 шт./год, 
гостиница на 10 мест, кафе на 20 посадочных мест</t>
  </si>
  <si>
    <t>капвложения</t>
  </si>
  <si>
    <t>диверсификация</t>
  </si>
  <si>
    <t>соц. Инфр.</t>
  </si>
  <si>
    <t>комф. условия</t>
  </si>
  <si>
    <t>ориентировочная стоимость и мощность будут установлены проектом</t>
  </si>
  <si>
    <t>Реконструкция теплоисточника в г.Байкальске</t>
  </si>
  <si>
    <t>Перепланировка здания общежития на 380 мест  под квартиры в 
г. Байкальске, мкр-н Гагарина, д. 151б</t>
  </si>
  <si>
    <t>Демонтаж оборудования ОАО "БЦБК", разборка сооружений комбината при сохранении объектов инфраструктуры 
г. Байкальска</t>
  </si>
  <si>
    <t>ГП "Социально-экономическое развитие Дальнего Востока и байкальского региона до 2052 года"</t>
  </si>
  <si>
    <t>ФГУ "Востсибрегионводхоз"</t>
  </si>
  <si>
    <t>набережная протяженностью 500м</t>
  </si>
  <si>
    <t>Берегоукрепление и благоустройство  со строительством набережной оз. Байкал (500 м) в г. Байкальске</t>
  </si>
  <si>
    <t>Создаваемые рабочие места, ед. Нарастаящий ИТОГ</t>
  </si>
  <si>
    <t>Установка 2,3 линий по розливу питьевой бутилированной  воды в Слюдянском районе</t>
  </si>
  <si>
    <t>проект в стадии разработки, ориентировочная мощность                        35 куб.м /час</t>
  </si>
  <si>
    <t>1.1.</t>
  </si>
  <si>
    <t>1.2.</t>
  </si>
  <si>
    <t>1.3.</t>
  </si>
  <si>
    <t>проект в стадии разработки, ориентировочная мощность                       12 000 куб.м./сутки</t>
  </si>
  <si>
    <t>проект в стадии разработки, ориентировочная мощность                     40 куб.м./сутки</t>
  </si>
  <si>
    <t>Лабораторный контроль качества подземных вод ОАО "БЦБК"</t>
  </si>
  <si>
    <t>программа ОАО "БЦБК", за счет собственных средств</t>
  </si>
  <si>
    <t>Рекультивация золо-шламонакопителей Солзанской площадки</t>
  </si>
  <si>
    <t>Срабатывание купола загрязненных подземных вод</t>
  </si>
  <si>
    <t>государственный заказчик Росгидромет</t>
  </si>
  <si>
    <t>Строительство берегоукрепительных сооружений в г.Байкальске на оз.Байкал</t>
  </si>
  <si>
    <t>Строительство производственно-лабораторного корпуса в г.Байкальске</t>
  </si>
  <si>
    <t>Заключен муниципальный контракт  от 27.11.2012. № 0134300054812000108 на сумму 1,855 млн. руб. Срок окончания работ 01.10.2013.</t>
  </si>
  <si>
    <t>Планируется строительство 5 объектов общественного питания</t>
  </si>
  <si>
    <t>Планируется строительство 5 объектов бытового обслуживания</t>
  </si>
  <si>
    <t>государственная</t>
  </si>
  <si>
    <t>Центр по обслуживанию автомобилей с годовым объемом 350 шт. в год, гостиница на 10 мест, кафе на на 20 посадочных мест</t>
  </si>
  <si>
    <t>Выручка от СТРОИТЕЛЬСТВА</t>
  </si>
  <si>
    <t>Выручка ОТ ПРОИЗВОДСТВА</t>
  </si>
  <si>
    <t>в том числе по ОАО БЦБК</t>
  </si>
  <si>
    <t>прочие перерабатывающие производства</t>
  </si>
  <si>
    <t>развитие туризма и торговли</t>
  </si>
  <si>
    <t>годы</t>
  </si>
  <si>
    <t>Доля</t>
  </si>
  <si>
    <t>Выручка всего по проектам</t>
  </si>
  <si>
    <t>Инерционная динамика</t>
  </si>
  <si>
    <t xml:space="preserve">Выручка ИТОГО - вариант 1 </t>
  </si>
  <si>
    <t>выручка без проектов</t>
  </si>
  <si>
    <t>Выручка ИТОГО 2 вариант</t>
  </si>
  <si>
    <t>%</t>
  </si>
  <si>
    <t>в т.ч. выручка СТРОИТЕЛЬСТВА</t>
  </si>
  <si>
    <t>Динамика выручки БЦБК вар 1</t>
  </si>
  <si>
    <t>Динамика выручки БЦБК вар 2</t>
  </si>
  <si>
    <t xml:space="preserve">доля постоянной выручки в вар 1 </t>
  </si>
  <si>
    <t>доля постоянной выручки в вар 2</t>
  </si>
  <si>
    <t xml:space="preserve">Проверка долей вар 1 </t>
  </si>
  <si>
    <t>Проверка долей вар 2</t>
  </si>
  <si>
    <t>Плановые значения индикаторов, 
характеризующих социально-экономического развития г. Байкальска</t>
  </si>
  <si>
    <t>№ п/п</t>
  </si>
  <si>
    <t>Наименование показателя</t>
  </si>
  <si>
    <t>Ед. изм.</t>
  </si>
  <si>
    <t>Сценарий</t>
  </si>
  <si>
    <t>прогноз</t>
  </si>
  <si>
    <t>Справочно:</t>
  </si>
  <si>
    <t>2010 г.</t>
  </si>
  <si>
    <t>2011 г.</t>
  </si>
  <si>
    <t>2012 г.</t>
  </si>
  <si>
    <t>2013 г.</t>
  </si>
  <si>
    <t>2014 г.</t>
  </si>
  <si>
    <t>Итого за 2010-2014 гг.</t>
  </si>
  <si>
    <t>факт 2008 г.</t>
  </si>
  <si>
    <t>оценка 2009 г.</t>
  </si>
  <si>
    <t>Численность постоянного населения</t>
  </si>
  <si>
    <t xml:space="preserve"> чел.</t>
  </si>
  <si>
    <t>1 вариант</t>
  </si>
  <si>
    <t>2 вариант</t>
  </si>
  <si>
    <t xml:space="preserve"> млн.
руб.</t>
  </si>
  <si>
    <t>динамика  слюдянки</t>
  </si>
  <si>
    <t>млн.
руб.</t>
  </si>
  <si>
    <t xml:space="preserve">отгрузка БЦБК </t>
  </si>
  <si>
    <t>дефляторы</t>
  </si>
  <si>
    <t>Среднемесячная заработная плата</t>
  </si>
  <si>
    <t xml:space="preserve"> руб.  </t>
  </si>
  <si>
    <t>Количество новых рабочих мест</t>
  </si>
  <si>
    <t>ед.</t>
  </si>
  <si>
    <t>безработные</t>
  </si>
  <si>
    <t>Уровень безработицы 
(к трудоспособному населению)</t>
  </si>
  <si>
    <t>Уровень дотационности муниципального бюджета</t>
  </si>
  <si>
    <t>руб.</t>
  </si>
  <si>
    <t>Источник информации за 2008 год:</t>
  </si>
  <si>
    <t>п.1, п.3 - по данным Территориального органа Федеральной службы государственной статистики по Иркутской области.</t>
  </si>
  <si>
    <t>п.2, пп.4-10, пп.12-20 по данным муниципального образования "Слюдянский район".</t>
  </si>
  <si>
    <t>п.11 - по данным  службы занятости населения Иркутской области.</t>
  </si>
  <si>
    <t xml:space="preserve">выручка </t>
  </si>
  <si>
    <t xml:space="preserve">бцбк </t>
  </si>
  <si>
    <t>байкастройка</t>
  </si>
  <si>
    <t>гора</t>
  </si>
  <si>
    <t>макбур</t>
  </si>
  <si>
    <t>курбатов</t>
  </si>
  <si>
    <t>центр</t>
  </si>
  <si>
    <t>тепловые сети</t>
  </si>
  <si>
    <t>кос</t>
  </si>
  <si>
    <t>проч.торговля</t>
  </si>
  <si>
    <t>Итого базовая выручка</t>
  </si>
  <si>
    <t>Доля  туризма и розничной торговли в общем объеме отгруженной продукции (работ и услуг) города</t>
  </si>
  <si>
    <t>Доля ОАО "БЦБК"  в общем объеме отгруженной продукции (работ и услуг) города</t>
  </si>
  <si>
    <t>Инвестиции БАЗА</t>
  </si>
  <si>
    <t>Динамика инвестиций по БАЗЕ</t>
  </si>
  <si>
    <t>Объем финансирования ПЛАНА вар 1</t>
  </si>
  <si>
    <t>Объем финансирования ПЛАНА вар 2</t>
  </si>
  <si>
    <t>ИФО</t>
  </si>
  <si>
    <t>Прогноз инвестиций</t>
  </si>
  <si>
    <t>вар 1</t>
  </si>
  <si>
    <t>вар 2</t>
  </si>
  <si>
    <t>Трудоспособное</t>
  </si>
  <si>
    <t xml:space="preserve">Кол-во безработный </t>
  </si>
  <si>
    <t>Уровень безработицы</t>
  </si>
  <si>
    <t>Строительство 2- этажного объекта общей площадью 120 м2</t>
  </si>
  <si>
    <t>Замена ветхих теплотрасс протяженностью 1 км. Прокладка новых магистральных теплотрасс протяженностью    4,6 км в двухтрубном исполнении</t>
  </si>
  <si>
    <t>частная, муниципальная</t>
  </si>
  <si>
    <t>Ремонт 110 зданий города</t>
  </si>
  <si>
    <t>Замена 89 деревянных опор, устройство новых ЛЭП протяженностью 160 м</t>
  </si>
  <si>
    <t>2 сквера города общей площадью 1 га</t>
  </si>
  <si>
    <r>
      <t>Форма собственности (</t>
    </r>
    <r>
      <rPr>
        <b/>
        <u val="single"/>
        <sz val="10"/>
        <rFont val="Arial Cyr"/>
        <family val="0"/>
      </rPr>
      <t>наличие ПСД</t>
    </r>
    <r>
      <rPr>
        <b/>
        <sz val="10"/>
        <rFont val="Arial Cyr"/>
        <family val="0"/>
      </rPr>
      <t>)</t>
    </r>
  </si>
  <si>
    <r>
      <t>Водоснабжение города холодной водой 6300м</t>
    </r>
    <r>
      <rPr>
        <vertAlign val="superscript"/>
        <sz val="10"/>
        <rFont val="Arial Cyr"/>
        <family val="0"/>
      </rPr>
      <t>3</t>
    </r>
    <r>
      <rPr>
        <sz val="10"/>
        <rFont val="Arial Cyr"/>
        <family val="0"/>
      </rPr>
      <t>/сут</t>
    </r>
  </si>
  <si>
    <r>
      <t>перекачка стоков м</t>
    </r>
    <r>
      <rPr>
        <vertAlign val="superscript"/>
        <sz val="10"/>
        <rFont val="Arial Cyr"/>
        <family val="0"/>
      </rPr>
      <t>3</t>
    </r>
    <r>
      <rPr>
        <sz val="10"/>
        <rFont val="Arial Cyr"/>
        <family val="0"/>
      </rPr>
      <t xml:space="preserve"> в сутки</t>
    </r>
  </si>
  <si>
    <r>
      <t>367</t>
    </r>
    <r>
      <rPr>
        <sz val="10"/>
        <rFont val="Arial Cyr"/>
        <family val="0"/>
      </rPr>
      <t xml:space="preserve"> в т.ч. новые - 10, врем. - 357</t>
    </r>
  </si>
  <si>
    <r>
      <t>Частно-государст-
венная (</t>
    </r>
    <r>
      <rPr>
        <u val="single"/>
        <sz val="10"/>
        <rFont val="Arial"/>
        <family val="2"/>
      </rPr>
      <t>стадия разработки</t>
    </r>
    <r>
      <rPr>
        <sz val="10"/>
        <rFont val="Arial"/>
        <family val="2"/>
      </rPr>
      <t>)</t>
    </r>
  </si>
  <si>
    <r>
      <t xml:space="preserve">Частная </t>
    </r>
    <r>
      <rPr>
        <u val="single"/>
        <sz val="10"/>
        <rFont val="Arial"/>
        <family val="2"/>
      </rPr>
      <t>(бизнес план)</t>
    </r>
  </si>
  <si>
    <r>
      <t>Частная (</t>
    </r>
    <r>
      <rPr>
        <u val="single"/>
        <sz val="10"/>
        <rFont val="Arial"/>
        <family val="2"/>
      </rPr>
      <t>бизнес план</t>
    </r>
    <r>
      <rPr>
        <sz val="10"/>
        <rFont val="Arial"/>
        <family val="2"/>
      </rPr>
      <t>)</t>
    </r>
  </si>
  <si>
    <r>
      <t>Частно-государственное партнерство (</t>
    </r>
    <r>
      <rPr>
        <u val="single"/>
        <sz val="10"/>
        <rFont val="Arial"/>
        <family val="2"/>
      </rPr>
      <t>ТЭО</t>
    </r>
    <r>
      <rPr>
        <sz val="10"/>
        <rFont val="Arial"/>
        <family val="2"/>
      </rPr>
      <t>)</t>
    </r>
  </si>
  <si>
    <r>
      <t>Частная (</t>
    </r>
    <r>
      <rPr>
        <u val="single"/>
        <sz val="10"/>
        <rFont val="Arial"/>
        <family val="2"/>
      </rPr>
      <t>предпроектная подготовка</t>
    </r>
    <r>
      <rPr>
        <sz val="10"/>
        <rFont val="Arial"/>
        <family val="2"/>
      </rPr>
      <t>)</t>
    </r>
  </si>
  <si>
    <t>план</t>
  </si>
  <si>
    <t>факт</t>
  </si>
  <si>
    <t>Начальник отдела по анализу и прогнозированию социально-экономического развития территории</t>
  </si>
  <si>
    <t>Н.А. Костюнина</t>
  </si>
  <si>
    <t>32 врем.</t>
  </si>
  <si>
    <t xml:space="preserve">55 врем. </t>
  </si>
  <si>
    <t>35 врем.</t>
  </si>
  <si>
    <t>27 врем.</t>
  </si>
  <si>
    <t>33 врем.</t>
  </si>
  <si>
    <t>20 врем.</t>
  </si>
  <si>
    <t>92 врем.</t>
  </si>
  <si>
    <t>112 врем</t>
  </si>
  <si>
    <t>Всего 379, в т.ч. 364 врем, 15 пост. Приняли участие 990.  Ярмарок 13</t>
  </si>
  <si>
    <t>всего 222, в т.ч. 201 врем.,        21 пост.</t>
  </si>
  <si>
    <t>316,55, в т.ч. пост. 25,55;        врем. 291</t>
  </si>
  <si>
    <t>всего 998,55 в т.ч. пост. 139,55, врем. 859</t>
  </si>
  <si>
    <t>1057,55, в т.ч 859 врем.,  198,55 пост.</t>
  </si>
  <si>
    <t>временно 113</t>
  </si>
  <si>
    <t>всего 779 в т.ч. Пост -63, врем - 716</t>
  </si>
  <si>
    <t>113-времен.</t>
  </si>
  <si>
    <t>100 врем.</t>
  </si>
  <si>
    <t>200 времен.</t>
  </si>
  <si>
    <t>всего 418, в т.ч. 403- врем., 15 - пост.</t>
  </si>
  <si>
    <t>820 , в т.ч. 716 - врем., 104 пост.</t>
  </si>
  <si>
    <t xml:space="preserve">Проведение капитального ремонта и ремонта автомобильных  дорог общего пользования населенных пунктов </t>
  </si>
  <si>
    <t>116 чел. ежегодно</t>
  </si>
  <si>
    <t>116 вр</t>
  </si>
  <si>
    <t>146 чел. ежегодно</t>
  </si>
  <si>
    <t>146 врем.</t>
  </si>
  <si>
    <t>3 чел. ежегодно</t>
  </si>
  <si>
    <t>3 врем.</t>
  </si>
  <si>
    <t>16 чел. ежегодно</t>
  </si>
  <si>
    <t xml:space="preserve"> 22 чел. ежегодно</t>
  </si>
  <si>
    <t>17 врем.</t>
  </si>
  <si>
    <t>1071  (гос. услуги)</t>
  </si>
  <si>
    <t>973 гос. услуг</t>
  </si>
  <si>
    <t>133  чел. ежегодно</t>
  </si>
  <si>
    <t>133 гос. услуги</t>
  </si>
  <si>
    <t>112 гос. услуги</t>
  </si>
  <si>
    <t>13 ярмарок ежегодно</t>
  </si>
  <si>
    <t>46 времен</t>
  </si>
  <si>
    <t>30 времен.</t>
  </si>
  <si>
    <t>7 врем.</t>
  </si>
  <si>
    <t>Всего 32</t>
  </si>
  <si>
    <t>Всего 392; в т.ч.времен.-282; пост.110 ярм. 676 чел.</t>
  </si>
  <si>
    <t>40 врем.</t>
  </si>
  <si>
    <t>116 врем.</t>
  </si>
  <si>
    <t xml:space="preserve">всего 109 </t>
  </si>
  <si>
    <t>всего 690; в т.ч.  врем-405; пост- 285</t>
  </si>
  <si>
    <t>Исполнение мероприятий Программы социально-экономического развития Слюдянского района Иркутской области на 2013-2015 годы за 2015 год</t>
  </si>
  <si>
    <t>124 (из них трудоустроены на пост. Место работы 107чел.)</t>
  </si>
  <si>
    <t>всего 581  в т.ч. Пост 176 времен. 405</t>
  </si>
  <si>
    <t>Мощность 
(в соответствующих единицах)</t>
  </si>
  <si>
    <t>Предоставлен земельный участок в с. Тибельти Быстринского поселения 42032 кв.м</t>
  </si>
  <si>
    <t>Ассоциация Байкальская Виза ООО "Байкальский Тироль"</t>
  </si>
  <si>
    <t>Строительство 6 кемпингов, строительство кафе, спортивной детской площадки и оказание платных услуг по прокату водного инвентаря.</t>
  </si>
  <si>
    <t>ДЦП «Поддержка и развитие малого и среднего предпринимательства в  муниципальном образовании Слюдянский район на 2013-2015 годы», ДЦП "Основные направления модернизации экономики моногорода Байкальск Иркутской области на 2010-2012 годы"</t>
  </si>
  <si>
    <t>Электрификация садоводческих некоммерческих товариществ (г. Байкальск)</t>
  </si>
  <si>
    <t>ДЦП Иркутской области "Стимулирование жилищного строительства в Иркутской области на 2011-2015 гг."</t>
  </si>
  <si>
    <t>ДЦП "Защита окружающей среды в Иркутской области на 2011-2015 гг."</t>
  </si>
  <si>
    <t>Во всех поселениях разработаны долгосрочные целевые программы в которых  предусмотрено провести асфальтирование и ремонт существующих дорог и др. мероприятия. Создание до 20 временных рабочих мест.</t>
  </si>
  <si>
    <t>Разработка генеральной схемы санитарной очистки населённых пунктов муниципального образования Слюдянский район с целью дальнейшего проектирования и строительства полигона по захоронению твердых бытовых отходов, мусоросортировочных, перегрузочных комплексов (линий) на территории  района</t>
  </si>
  <si>
    <t>Частно-государственная</t>
  </si>
  <si>
    <t>Создание межрегионального центра экологического мониторинга оз. Байкал, г. Байкальск</t>
  </si>
  <si>
    <t>Строительство модульного детского  сада на 110 мест в г. Слюдянка по ул. Красногвардейцев.</t>
  </si>
  <si>
    <t>Строительство  модульного детского  сада на 110 мест в п. Култук по ул. Кирова***</t>
  </si>
  <si>
    <t>ОГЦП «Развитие социальной и инженерной инфраструктуры муниципальных образований Иркутской области на 2008 – 2010 годы», субсидии из федерального бюджета бюджетам субъектов РФ на софинансирование объектов капитального строительства (непрограммная часть)</t>
  </si>
  <si>
    <t>Строительство модульного клуба на 100 мест в с. Тибельти***</t>
  </si>
  <si>
    <t>Строительство модульного клуба на 100 мест в с. Мурино***</t>
  </si>
  <si>
    <t>Долгосрочная целевая программа Иркутской области "100 модельных домов культуры Приангарью на 2011-2014 гг.."</t>
  </si>
  <si>
    <t>государственный заказчик ДГК и Нв СНК</t>
  </si>
  <si>
    <t>Завершение строительства Детской школы искусств на 420 мест в г. Слюдянка</t>
  </si>
  <si>
    <t>ДУП Иркутской области "Развитие социальной и инженерной инфраструктуры в Иркутской области на 2010-2014 гг."</t>
  </si>
  <si>
    <t>10 ярмарок (663 чел.)</t>
  </si>
  <si>
    <t>116 чел. Ежегодно</t>
  </si>
  <si>
    <t>Предварительная стоимость проектных работ 25,8 млн. руб.</t>
  </si>
  <si>
    <t>При освобождении муниципального имущества -проведение конкурса для перечня для работы предприятием малого бизнес</t>
  </si>
  <si>
    <t>Разработаны под проекты к бизнес-плану: проект "Кафе" на 10 отметке, проект "Расширение системы искусственного оснащения"</t>
  </si>
</sst>
</file>

<file path=xl/styles.xml><?xml version="1.0" encoding="utf-8"?>
<styleSheet xmlns="http://schemas.openxmlformats.org/spreadsheetml/2006/main">
  <numFmts count="5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#,##0.000"/>
    <numFmt numFmtId="171" formatCode="0.000"/>
    <numFmt numFmtId="172" formatCode="_-* #,##0.0_р_._-;\-* #,##0.0_р_._-;_-* &quot;-&quot;??_р_._-;_-@_-"/>
    <numFmt numFmtId="173" formatCode="_-* #,##0.000_р_._-;\-* #,##0.000_р_._-;_-* &quot;-&quot;??_р_._-;_-@_-"/>
    <numFmt numFmtId="174" formatCode="_-* #,##0.0_р_._-;\-* #,##0.0_р_._-;_-* &quot;-&quot;?_р_._-;_-@_-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000E+00"/>
    <numFmt numFmtId="181" formatCode="0.000E+00"/>
    <numFmt numFmtId="182" formatCode="0.0E+00"/>
    <numFmt numFmtId="183" formatCode="0E+00"/>
    <numFmt numFmtId="184" formatCode="#,##0.0000"/>
    <numFmt numFmtId="185" formatCode="&quot;€&quot;#,##0;\-&quot;€&quot;#,##0"/>
    <numFmt numFmtId="186" formatCode="&quot;€&quot;#,##0;[Red]\-&quot;€&quot;#,##0"/>
    <numFmt numFmtId="187" formatCode="&quot;€&quot;#,##0.00;\-&quot;€&quot;#,##0.00"/>
    <numFmt numFmtId="188" formatCode="&quot;€&quot;#,##0.00;[Red]\-&quot;€&quot;#,##0.00"/>
    <numFmt numFmtId="189" formatCode="_-&quot;€&quot;* #,##0_-;\-&quot;€&quot;* #,##0_-;_-&quot;€&quot;* &quot;-&quot;_-;_-@_-"/>
    <numFmt numFmtId="190" formatCode="_-* #,##0_-;\-* #,##0_-;_-* &quot;-&quot;_-;_-@_-"/>
    <numFmt numFmtId="191" formatCode="_-&quot;€&quot;* #,##0.00_-;\-&quot;€&quot;* #,##0.00_-;_-&quot;€&quot;* &quot;-&quot;??_-;_-@_-"/>
    <numFmt numFmtId="192" formatCode="_-* #,##0.00_-;\-* #,##0.00_-;_-* &quot;-&quot;??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.0_)"/>
    <numFmt numFmtId="202" formatCode="#,##0&quot;р.&quot;"/>
    <numFmt numFmtId="203" formatCode="[=0]&quot;-&quot;;0"/>
    <numFmt numFmtId="204" formatCode="0.000000000"/>
    <numFmt numFmtId="205" formatCode="[=0]&quot;-&quot;;0.0"/>
    <numFmt numFmtId="206" formatCode="[=0]&quot;-&quot;;0.00"/>
    <numFmt numFmtId="207" formatCode="_-* #,##0_р_._-;\-* #,##0_р_._-;_-* &quot;-&quot;??_р_._-;_-@_-"/>
    <numFmt numFmtId="208" formatCode="#,##0.00000"/>
    <numFmt numFmtId="209" formatCode="#,##0.000000"/>
    <numFmt numFmtId="210" formatCode="#,##0.0000000"/>
    <numFmt numFmtId="211" formatCode="#,##0.00000000"/>
    <numFmt numFmtId="212" formatCode="[$-FC19]d\ mmmm\ yyyy\ &quot;г.&quot;"/>
    <numFmt numFmtId="213" formatCode="000000"/>
    <numFmt numFmtId="214" formatCode="0.0%"/>
  </numFmts>
  <fonts count="102">
    <font>
      <sz val="10"/>
      <name val="Arial Cyr"/>
      <family val="0"/>
    </font>
    <font>
      <sz val="12"/>
      <name val="Arial Cyr"/>
      <family val="0"/>
    </font>
    <font>
      <i/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i/>
      <sz val="10"/>
      <name val="Arial Cyr"/>
      <family val="0"/>
    </font>
    <font>
      <b/>
      <sz val="10"/>
      <name val="Arial"/>
      <family val="2"/>
    </font>
    <font>
      <b/>
      <sz val="9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"/>
      <family val="2"/>
    </font>
    <font>
      <b/>
      <sz val="9"/>
      <name val="Arial Cyr"/>
      <family val="0"/>
    </font>
    <font>
      <b/>
      <sz val="11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sz val="10"/>
      <color indexed="10"/>
      <name val="Arial Cyr"/>
      <family val="0"/>
    </font>
    <font>
      <sz val="12"/>
      <name val="Arial"/>
      <family val="2"/>
    </font>
    <font>
      <i/>
      <sz val="14"/>
      <name val="Arial Cyr"/>
      <family val="0"/>
    </font>
    <font>
      <b/>
      <sz val="16"/>
      <name val="Arial Cyr"/>
      <family val="0"/>
    </font>
    <font>
      <sz val="12"/>
      <name val="Times New Roman"/>
      <family val="1"/>
    </font>
    <font>
      <b/>
      <sz val="8"/>
      <name val="Arial Cyr"/>
      <family val="0"/>
    </font>
    <font>
      <b/>
      <sz val="10"/>
      <color indexed="8"/>
      <name val="Arial"/>
      <family val="2"/>
    </font>
    <font>
      <sz val="10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i/>
      <sz val="14"/>
      <name val="Arial"/>
      <family val="2"/>
    </font>
    <font>
      <sz val="16"/>
      <color indexed="10"/>
      <name val="Times New Roman"/>
      <family val="1"/>
    </font>
    <font>
      <i/>
      <sz val="14"/>
      <name val="Times New Roman"/>
      <family val="1"/>
    </font>
    <font>
      <sz val="14"/>
      <color indexed="8"/>
      <name val="Times New Roman"/>
      <family val="1"/>
    </font>
    <font>
      <sz val="14"/>
      <color indexed="63"/>
      <name val="Arial"/>
      <family val="2"/>
    </font>
    <font>
      <b/>
      <i/>
      <u val="single"/>
      <sz val="14"/>
      <name val="Arial"/>
      <family val="2"/>
    </font>
    <font>
      <sz val="9"/>
      <name val="Arial Cyr"/>
      <family val="0"/>
    </font>
    <font>
      <sz val="8"/>
      <name val="Arial Cyr"/>
      <family val="0"/>
    </font>
    <font>
      <b/>
      <u val="single"/>
      <sz val="10"/>
      <name val="Arial Cyr"/>
      <family val="0"/>
    </font>
    <font>
      <vertAlign val="superscript"/>
      <sz val="10"/>
      <name val="Arial Cyr"/>
      <family val="0"/>
    </font>
    <font>
      <u val="single"/>
      <sz val="10"/>
      <name val="Arial"/>
      <family val="2"/>
    </font>
    <font>
      <u val="single"/>
      <sz val="10"/>
      <name val="Arial Cyr"/>
      <family val="0"/>
    </font>
    <font>
      <b/>
      <sz val="12"/>
      <name val="Arial"/>
      <family val="2"/>
    </font>
    <font>
      <b/>
      <u val="single"/>
      <sz val="12"/>
      <name val="Arial Cyr"/>
      <family val="0"/>
    </font>
    <font>
      <b/>
      <i/>
      <sz val="10"/>
      <name val="Arial Cyr"/>
      <family val="0"/>
    </font>
    <font>
      <b/>
      <sz val="12"/>
      <name val="Times New Roman"/>
      <family val="1"/>
    </font>
    <font>
      <b/>
      <sz val="10"/>
      <name val="Tahoma"/>
      <family val="2"/>
    </font>
    <font>
      <sz val="10"/>
      <name val="Tahoma"/>
      <family val="2"/>
    </font>
    <font>
      <i/>
      <sz val="12"/>
      <name val="Times New Roman"/>
      <family val="1"/>
    </font>
    <font>
      <sz val="11"/>
      <color indexed="8"/>
      <name val="Times New Roman"/>
      <family val="1"/>
    </font>
    <font>
      <b/>
      <sz val="10"/>
      <color indexed="10"/>
      <name val="Arial Cyr"/>
      <family val="0"/>
    </font>
    <font>
      <b/>
      <sz val="9"/>
      <color indexed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i/>
      <sz val="10"/>
      <color indexed="10"/>
      <name val="Arial Cyr"/>
      <family val="0"/>
    </font>
    <font>
      <b/>
      <i/>
      <sz val="10"/>
      <color indexed="8"/>
      <name val="Arial"/>
      <family val="2"/>
    </font>
    <font>
      <b/>
      <sz val="14"/>
      <name val="Times New Roman"/>
      <family val="1"/>
    </font>
    <font>
      <b/>
      <sz val="14"/>
      <name val="Arial Cyr"/>
      <family val="0"/>
    </font>
    <font>
      <sz val="16"/>
      <name val="Arial"/>
      <family val="2"/>
    </font>
    <font>
      <b/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 Cyr"/>
      <family val="0"/>
    </font>
    <font>
      <sz val="14"/>
      <name val="Arial Cyr"/>
      <family val="0"/>
    </font>
    <font>
      <sz val="16"/>
      <name val="Times New Roman"/>
      <family val="1"/>
    </font>
    <font>
      <sz val="12"/>
      <name val="Tahoma"/>
      <family val="2"/>
    </font>
    <font>
      <sz val="12"/>
      <color indexed="12"/>
      <name val="Times New Roman"/>
      <family val="1"/>
    </font>
    <font>
      <sz val="12"/>
      <color indexed="10"/>
      <name val="Times New Roman"/>
      <family val="1"/>
    </font>
    <font>
      <sz val="12"/>
      <color indexed="17"/>
      <name val="Times New Roman"/>
      <family val="1"/>
    </font>
    <font>
      <sz val="12"/>
      <color indexed="57"/>
      <name val="Times New Roman"/>
      <family val="1"/>
    </font>
    <font>
      <sz val="12"/>
      <color indexed="12"/>
      <name val="Arial Cyr"/>
      <family val="0"/>
    </font>
    <font>
      <sz val="12"/>
      <color indexed="10"/>
      <name val="Arial Cyr"/>
      <family val="0"/>
    </font>
    <font>
      <sz val="12"/>
      <color indexed="17"/>
      <name val="Arial Cyr"/>
      <family val="0"/>
    </font>
    <font>
      <sz val="12"/>
      <color indexed="57"/>
      <name val="Arial Cyr"/>
      <family val="0"/>
    </font>
    <font>
      <b/>
      <sz val="12"/>
      <name val="Tahoma"/>
      <family val="2"/>
    </font>
    <font>
      <sz val="12"/>
      <color indexed="9"/>
      <name val="Times New Roman"/>
      <family val="1"/>
    </font>
    <font>
      <b/>
      <sz val="12"/>
      <color indexed="43"/>
      <name val="Times New Roman"/>
      <family val="1"/>
    </font>
    <font>
      <sz val="12"/>
      <color indexed="43"/>
      <name val="Times New Roman"/>
      <family val="1"/>
    </font>
    <font>
      <b/>
      <sz val="10"/>
      <color indexed="43"/>
      <name val="Arial"/>
      <family val="2"/>
    </font>
    <font>
      <b/>
      <i/>
      <sz val="12"/>
      <name val="Times New Roman"/>
      <family val="1"/>
    </font>
    <font>
      <sz val="18"/>
      <color indexed="8"/>
      <name val="Times New Roman"/>
      <family val="1"/>
    </font>
    <font>
      <b/>
      <sz val="18"/>
      <color indexed="8"/>
      <name val="Times New Roman"/>
      <family val="1"/>
    </font>
    <font>
      <sz val="18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0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5" borderId="0" applyNumberFormat="0" applyBorder="0" applyAlignment="0" applyProtection="0"/>
    <xf numFmtId="0" fontId="58" fillId="8" borderId="0" applyNumberFormat="0" applyBorder="0" applyAlignment="0" applyProtection="0"/>
    <xf numFmtId="0" fontId="58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9" borderId="0" applyNumberFormat="0" applyBorder="0" applyAlignment="0" applyProtection="0"/>
    <xf numFmtId="0" fontId="60" fillId="7" borderId="1" applyNumberFormat="0" applyAlignment="0" applyProtection="0"/>
    <xf numFmtId="0" fontId="61" fillId="20" borderId="2" applyNumberFormat="0" applyAlignment="0" applyProtection="0"/>
    <xf numFmtId="0" fontId="62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1" borderId="7" applyNumberFormat="0" applyAlignment="0" applyProtection="0"/>
    <xf numFmtId="0" fontId="68" fillId="0" borderId="0" applyNumberFormat="0" applyFill="0" applyBorder="0" applyAlignment="0" applyProtection="0"/>
    <xf numFmtId="0" fontId="69" fillId="22" borderId="0" applyNumberFormat="0" applyBorder="0" applyAlignment="0" applyProtection="0"/>
    <xf numFmtId="0" fontId="98" fillId="0" borderId="0">
      <alignment/>
      <protection/>
    </xf>
    <xf numFmtId="0" fontId="58" fillId="0" borderId="0">
      <alignment/>
      <protection/>
    </xf>
    <xf numFmtId="0" fontId="22" fillId="0" borderId="0">
      <alignment/>
      <protection/>
    </xf>
    <xf numFmtId="0" fontId="10" fillId="0" borderId="0" applyNumberFormat="0" applyFill="0" applyBorder="0" applyAlignment="0" applyProtection="0"/>
    <xf numFmtId="0" fontId="70" fillId="3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22" fillId="0" borderId="0">
      <alignment/>
      <protection/>
    </xf>
    <xf numFmtId="0" fontId="7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4" fillId="4" borderId="0" applyNumberFormat="0" applyBorder="0" applyAlignment="0" applyProtection="0"/>
  </cellStyleXfs>
  <cellXfs count="110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top"/>
    </xf>
    <xf numFmtId="0" fontId="1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wrapText="1"/>
    </xf>
    <xf numFmtId="169" fontId="0" fillId="0" borderId="10" xfId="0" applyNumberFormat="1" applyFont="1" applyFill="1" applyBorder="1" applyAlignment="1">
      <alignment horizontal="center" vertical="center" wrapText="1"/>
    </xf>
    <xf numFmtId="169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4" fillId="7" borderId="10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/>
    </xf>
    <xf numFmtId="169" fontId="4" fillId="7" borderId="10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16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 wrapText="1"/>
    </xf>
    <xf numFmtId="169" fontId="5" fillId="24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16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69" fontId="0" fillId="0" borderId="10" xfId="0" applyNumberFormat="1" applyFont="1" applyBorder="1" applyAlignment="1">
      <alignment horizontal="center" vertical="center" wrapText="1"/>
    </xf>
    <xf numFmtId="16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0" fillId="4" borderId="10" xfId="0" applyFont="1" applyFill="1" applyBorder="1" applyAlignment="1">
      <alignment horizontal="center" vertical="center"/>
    </xf>
    <xf numFmtId="0" fontId="4" fillId="25" borderId="10" xfId="0" applyFont="1" applyFill="1" applyBorder="1" applyAlignment="1">
      <alignment horizontal="center" vertical="center"/>
    </xf>
    <xf numFmtId="0" fontId="1" fillId="25" borderId="0" xfId="0" applyFont="1" applyFill="1" applyAlignment="1">
      <alignment/>
    </xf>
    <xf numFmtId="169" fontId="4" fillId="25" borderId="10" xfId="0" applyNumberFormat="1" applyFont="1" applyFill="1" applyBorder="1" applyAlignment="1">
      <alignment horizontal="center" vertical="center" wrapText="1"/>
    </xf>
    <xf numFmtId="0" fontId="4" fillId="25" borderId="10" xfId="0" applyNumberFormat="1" applyFont="1" applyFill="1" applyBorder="1" applyAlignment="1">
      <alignment horizontal="center" vertical="center"/>
    </xf>
    <xf numFmtId="0" fontId="7" fillId="25" borderId="10" xfId="0" applyFont="1" applyFill="1" applyBorder="1" applyAlignment="1">
      <alignment horizontal="center" vertical="center" wrapText="1"/>
    </xf>
    <xf numFmtId="169" fontId="0" fillId="25" borderId="10" xfId="0" applyNumberFormat="1" applyFont="1" applyFill="1" applyBorder="1" applyAlignment="1">
      <alignment horizontal="center" vertical="center" wrapText="1"/>
    </xf>
    <xf numFmtId="0" fontId="3" fillId="25" borderId="0" xfId="0" applyFont="1" applyFill="1" applyAlignment="1">
      <alignment/>
    </xf>
    <xf numFmtId="169" fontId="0" fillId="0" borderId="10" xfId="0" applyNumberFormat="1" applyBorder="1" applyAlignment="1">
      <alignment horizontal="center" vertical="center" wrapText="1"/>
    </xf>
    <xf numFmtId="169" fontId="0" fillId="0" borderId="10" xfId="0" applyNumberFormat="1" applyFont="1" applyFill="1" applyBorder="1" applyAlignment="1">
      <alignment horizontal="center" vertical="center"/>
    </xf>
    <xf numFmtId="169" fontId="1" fillId="0" borderId="0" xfId="0" applyNumberFormat="1" applyFont="1" applyAlignment="1">
      <alignment horizontal="center" vertical="center"/>
    </xf>
    <xf numFmtId="169" fontId="2" fillId="0" borderId="0" xfId="0" applyNumberFormat="1" applyFont="1" applyAlignment="1">
      <alignment horizontal="center" vertical="center"/>
    </xf>
    <xf numFmtId="169" fontId="1" fillId="0" borderId="0" xfId="0" applyNumberFormat="1" applyFont="1" applyAlignment="1">
      <alignment wrapText="1"/>
    </xf>
    <xf numFmtId="169" fontId="0" fillId="0" borderId="0" xfId="0" applyNumberFormat="1" applyFont="1" applyAlignment="1">
      <alignment horizontal="center" vertical="center"/>
    </xf>
    <xf numFmtId="169" fontId="1" fillId="0" borderId="0" xfId="0" applyNumberFormat="1" applyFont="1" applyAlignment="1">
      <alignment horizontal="center" wrapText="1"/>
    </xf>
    <xf numFmtId="169" fontId="4" fillId="25" borderId="10" xfId="0" applyNumberFormat="1" applyFont="1" applyFill="1" applyBorder="1" applyAlignment="1">
      <alignment horizontal="center" vertical="center"/>
    </xf>
    <xf numFmtId="169" fontId="0" fillId="0" borderId="10" xfId="0" applyNumberFormat="1" applyFont="1" applyBorder="1" applyAlignment="1">
      <alignment horizontal="center" vertical="center"/>
    </xf>
    <xf numFmtId="169" fontId="0" fillId="0" borderId="10" xfId="0" applyNumberFormat="1" applyFont="1" applyFill="1" applyBorder="1" applyAlignment="1">
      <alignment vertical="center" wrapText="1"/>
    </xf>
    <xf numFmtId="169" fontId="4" fillId="0" borderId="10" xfId="0" applyNumberFormat="1" applyFont="1" applyBorder="1" applyAlignment="1">
      <alignment horizontal="center" vertical="center"/>
    </xf>
    <xf numFmtId="169" fontId="0" fillId="0" borderId="10" xfId="0" applyNumberFormat="1" applyFont="1" applyFill="1" applyBorder="1" applyAlignment="1">
      <alignment horizontal="center" vertical="center"/>
    </xf>
    <xf numFmtId="169" fontId="4" fillId="0" borderId="10" xfId="0" applyNumberFormat="1" applyFont="1" applyFill="1" applyBorder="1" applyAlignment="1">
      <alignment horizontal="center" vertical="center"/>
    </xf>
    <xf numFmtId="169" fontId="0" fillId="0" borderId="10" xfId="0" applyNumberFormat="1" applyFont="1" applyBorder="1" applyAlignment="1">
      <alignment horizontal="center" vertical="center"/>
    </xf>
    <xf numFmtId="169" fontId="0" fillId="0" borderId="10" xfId="0" applyNumberFormat="1" applyFont="1" applyFill="1" applyBorder="1" applyAlignment="1">
      <alignment vertical="center" wrapText="1"/>
    </xf>
    <xf numFmtId="169" fontId="4" fillId="4" borderId="10" xfId="0" applyNumberFormat="1" applyFont="1" applyFill="1" applyBorder="1" applyAlignment="1">
      <alignment horizontal="center" vertical="center"/>
    </xf>
    <xf numFmtId="169" fontId="0" fillId="4" borderId="10" xfId="0" applyNumberFormat="1" applyFont="1" applyFill="1" applyBorder="1" applyAlignment="1">
      <alignment horizontal="center" vertical="center"/>
    </xf>
    <xf numFmtId="169" fontId="0" fillId="0" borderId="10" xfId="0" applyNumberFormat="1" applyFont="1" applyFill="1" applyBorder="1" applyAlignment="1">
      <alignment horizontal="center" vertical="center"/>
    </xf>
    <xf numFmtId="169" fontId="0" fillId="0" borderId="10" xfId="0" applyNumberFormat="1" applyFont="1" applyBorder="1" applyAlignment="1">
      <alignment horizontal="center" vertical="center"/>
    </xf>
    <xf numFmtId="169" fontId="0" fillId="0" borderId="10" xfId="0" applyNumberFormat="1" applyFont="1" applyBorder="1" applyAlignment="1">
      <alignment horizontal="center" vertical="center" wrapText="1"/>
    </xf>
    <xf numFmtId="169" fontId="0" fillId="0" borderId="10" xfId="0" applyNumberFormat="1" applyBorder="1" applyAlignment="1">
      <alignment horizontal="center" wrapText="1"/>
    </xf>
    <xf numFmtId="169" fontId="0" fillId="0" borderId="10" xfId="0" applyNumberFormat="1" applyFont="1" applyFill="1" applyBorder="1" applyAlignment="1">
      <alignment horizontal="center" vertical="center" wrapText="1"/>
    </xf>
    <xf numFmtId="169" fontId="0" fillId="0" borderId="10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169" fontId="4" fillId="0" borderId="10" xfId="0" applyNumberFormat="1" applyFont="1" applyBorder="1" applyAlignment="1">
      <alignment horizontal="center" vertical="center" wrapText="1"/>
    </xf>
    <xf numFmtId="169" fontId="12" fillId="0" borderId="10" xfId="0" applyNumberFormat="1" applyFont="1" applyBorder="1" applyAlignment="1">
      <alignment horizontal="center" vertical="center" textRotation="90" wrapText="1"/>
    </xf>
    <xf numFmtId="169" fontId="8" fillId="0" borderId="10" xfId="0" applyNumberFormat="1" applyFont="1" applyBorder="1" applyAlignment="1">
      <alignment horizontal="center" vertical="center" textRotation="90" wrapText="1"/>
    </xf>
    <xf numFmtId="0" fontId="6" fillId="0" borderId="10" xfId="0" applyFont="1" applyFill="1" applyBorder="1" applyAlignment="1">
      <alignment horizontal="left" vertical="center" wrapText="1"/>
    </xf>
    <xf numFmtId="169" fontId="6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169" fontId="7" fillId="0" borderId="10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Alignment="1">
      <alignment wrapText="1"/>
    </xf>
    <xf numFmtId="3" fontId="4" fillId="7" borderId="10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left" vertical="center" wrapText="1"/>
    </xf>
    <xf numFmtId="3" fontId="4" fillId="25" borderId="10" xfId="0" applyNumberFormat="1" applyFont="1" applyFill="1" applyBorder="1" applyAlignment="1">
      <alignment horizontal="center" vertical="center" wrapText="1"/>
    </xf>
    <xf numFmtId="3" fontId="4" fillId="25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 wrapText="1"/>
    </xf>
    <xf numFmtId="3" fontId="5" fillId="24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3" fontId="0" fillId="4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3" fontId="0" fillId="0" borderId="10" xfId="0" applyNumberFormat="1" applyBorder="1" applyAlignment="1">
      <alignment horizontal="center" vertical="center" wrapText="1"/>
    </xf>
    <xf numFmtId="168" fontId="0" fillId="0" borderId="10" xfId="0" applyNumberFormat="1" applyFont="1" applyBorder="1" applyAlignment="1">
      <alignment horizontal="center" vertical="center"/>
    </xf>
    <xf numFmtId="168" fontId="0" fillId="0" borderId="10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 wrapText="1"/>
    </xf>
    <xf numFmtId="3" fontId="4" fillId="4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169" fontId="0" fillId="0" borderId="0" xfId="0" applyNumberFormat="1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 wrapText="1"/>
    </xf>
    <xf numFmtId="169" fontId="1" fillId="0" borderId="10" xfId="0" applyNumberFormat="1" applyFont="1" applyBorder="1" applyAlignment="1">
      <alignment/>
    </xf>
    <xf numFmtId="169" fontId="0" fillId="0" borderId="0" xfId="0" applyNumberFormat="1" applyFont="1" applyFill="1" applyBorder="1" applyAlignment="1">
      <alignment horizontal="center" vertical="center"/>
    </xf>
    <xf numFmtId="169" fontId="0" fillId="0" borderId="0" xfId="0" applyNumberFormat="1" applyFont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 wrapText="1"/>
    </xf>
    <xf numFmtId="169" fontId="8" fillId="0" borderId="10" xfId="0" applyNumberFormat="1" applyFont="1" applyFill="1" applyBorder="1" applyAlignment="1">
      <alignment horizontal="center" vertical="center" textRotation="90" wrapText="1"/>
    </xf>
    <xf numFmtId="169" fontId="5" fillId="0" borderId="11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3" fontId="1" fillId="4" borderId="0" xfId="0" applyNumberFormat="1" applyFont="1" applyFill="1" applyBorder="1" applyAlignment="1">
      <alignment horizontal="right"/>
    </xf>
    <xf numFmtId="169" fontId="1" fillId="0" borderId="0" xfId="0" applyNumberFormat="1" applyFont="1" applyFill="1" applyBorder="1" applyAlignment="1">
      <alignment horizontal="right"/>
    </xf>
    <xf numFmtId="0" fontId="17" fillId="0" borderId="0" xfId="0" applyFont="1" applyBorder="1" applyAlignment="1">
      <alignment horizontal="right" vertical="top" wrapText="1"/>
    </xf>
    <xf numFmtId="1" fontId="17" fillId="0" borderId="0" xfId="0" applyNumberFormat="1" applyFont="1" applyBorder="1" applyAlignment="1">
      <alignment horizontal="right" vertical="top" wrapText="1"/>
    </xf>
    <xf numFmtId="169" fontId="4" fillId="4" borderId="11" xfId="0" applyNumberFormat="1" applyFont="1" applyFill="1" applyBorder="1" applyAlignment="1">
      <alignment horizontal="center" vertical="center"/>
    </xf>
    <xf numFmtId="168" fontId="0" fillId="0" borderId="11" xfId="0" applyNumberFormat="1" applyFont="1" applyBorder="1" applyAlignment="1">
      <alignment horizontal="center" vertical="center"/>
    </xf>
    <xf numFmtId="168" fontId="0" fillId="0" borderId="11" xfId="0" applyNumberFormat="1" applyFont="1" applyBorder="1" applyAlignment="1">
      <alignment horizontal="center" vertical="center"/>
    </xf>
    <xf numFmtId="3" fontId="4" fillId="25" borderId="11" xfId="0" applyNumberFormat="1" applyFont="1" applyFill="1" applyBorder="1" applyAlignment="1">
      <alignment horizontal="center" vertical="center"/>
    </xf>
    <xf numFmtId="169" fontId="17" fillId="0" borderId="0" xfId="0" applyNumberFormat="1" applyFont="1" applyFill="1" applyBorder="1" applyAlignment="1">
      <alignment horizontal="right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/>
    </xf>
    <xf numFmtId="168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/>
    </xf>
    <xf numFmtId="0" fontId="21" fillId="7" borderId="1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3" fontId="0" fillId="0" borderId="10" xfId="0" applyNumberFormat="1" applyFill="1" applyBorder="1" applyAlignment="1">
      <alignment wrapText="1"/>
    </xf>
    <xf numFmtId="168" fontId="0" fillId="0" borderId="0" xfId="0" applyNumberFormat="1" applyAlignment="1">
      <alignment wrapText="1"/>
    </xf>
    <xf numFmtId="0" fontId="0" fillId="0" borderId="10" xfId="0" applyFill="1" applyBorder="1" applyAlignment="1">
      <alignment wrapText="1"/>
    </xf>
    <xf numFmtId="0" fontId="0" fillId="0" borderId="0" xfId="0" applyFill="1" applyAlignment="1">
      <alignment wrapText="1"/>
    </xf>
    <xf numFmtId="1" fontId="0" fillId="0" borderId="0" xfId="0" applyNumberFormat="1" applyFill="1" applyAlignment="1">
      <alignment wrapText="1"/>
    </xf>
    <xf numFmtId="3" fontId="0" fillId="0" borderId="10" xfId="0" applyNumberFormat="1" applyBorder="1" applyAlignment="1">
      <alignment wrapText="1"/>
    </xf>
    <xf numFmtId="1" fontId="0" fillId="0" borderId="10" xfId="0" applyNumberFormat="1" applyBorder="1" applyAlignment="1">
      <alignment wrapText="1"/>
    </xf>
    <xf numFmtId="168" fontId="0" fillId="0" borderId="10" xfId="0" applyNumberFormat="1" applyBorder="1" applyAlignment="1">
      <alignment wrapText="1"/>
    </xf>
    <xf numFmtId="0" fontId="0" fillId="0" borderId="0" xfId="0" applyFill="1" applyBorder="1" applyAlignment="1">
      <alignment wrapText="1"/>
    </xf>
    <xf numFmtId="3" fontId="0" fillId="0" borderId="12" xfId="0" applyNumberFormat="1" applyBorder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wrapText="1"/>
    </xf>
    <xf numFmtId="0" fontId="21" fillId="0" borderId="13" xfId="0" applyFont="1" applyFill="1" applyBorder="1" applyAlignment="1">
      <alignment horizontal="center" vertical="center" wrapText="1"/>
    </xf>
    <xf numFmtId="3" fontId="0" fillId="0" borderId="13" xfId="0" applyNumberFormat="1" applyFill="1" applyBorder="1" applyAlignment="1">
      <alignment wrapText="1"/>
    </xf>
    <xf numFmtId="3" fontId="6" fillId="0" borderId="13" xfId="0" applyNumberFormat="1" applyFont="1" applyFill="1" applyBorder="1" applyAlignment="1">
      <alignment wrapText="1"/>
    </xf>
    <xf numFmtId="3" fontId="6" fillId="0" borderId="14" xfId="0" applyNumberFormat="1" applyFont="1" applyFill="1" applyBorder="1" applyAlignment="1">
      <alignment wrapText="1"/>
    </xf>
    <xf numFmtId="3" fontId="0" fillId="0" borderId="10" xfId="0" applyNumberFormat="1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168" fontId="0" fillId="0" borderId="10" xfId="0" applyNumberFormat="1" applyBorder="1" applyAlignment="1">
      <alignment horizontal="center" wrapText="1"/>
    </xf>
    <xf numFmtId="3" fontId="0" fillId="0" borderId="15" xfId="0" applyNumberForma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vertical="center" wrapText="1"/>
    </xf>
    <xf numFmtId="3" fontId="0" fillId="0" borderId="16" xfId="0" applyNumberFormat="1" applyFill="1" applyBorder="1" applyAlignment="1">
      <alignment wrapText="1"/>
    </xf>
    <xf numFmtId="0" fontId="0" fillId="0" borderId="16" xfId="0" applyFill="1" applyBorder="1" applyAlignment="1">
      <alignment wrapText="1"/>
    </xf>
    <xf numFmtId="0" fontId="4" fillId="7" borderId="10" xfId="0" applyFont="1" applyFill="1" applyBorder="1" applyAlignment="1">
      <alignment horizont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2" fontId="0" fillId="0" borderId="0" xfId="0" applyNumberFormat="1" applyAlignment="1">
      <alignment wrapText="1"/>
    </xf>
    <xf numFmtId="168" fontId="6" fillId="0" borderId="10" xfId="0" applyNumberFormat="1" applyFont="1" applyFill="1" applyBorder="1" applyAlignment="1">
      <alignment wrapText="1"/>
    </xf>
    <xf numFmtId="1" fontId="0" fillId="0" borderId="17" xfId="0" applyNumberFormat="1" applyBorder="1" applyAlignment="1">
      <alignment horizontal="center" vertical="center" wrapText="1"/>
    </xf>
    <xf numFmtId="1" fontId="0" fillId="0" borderId="18" xfId="0" applyNumberFormat="1" applyBorder="1" applyAlignment="1">
      <alignment horizontal="center" vertical="center" wrapText="1"/>
    </xf>
    <xf numFmtId="1" fontId="0" fillId="0" borderId="19" xfId="0" applyNumberFormat="1" applyBorder="1" applyAlignment="1">
      <alignment horizontal="center" vertical="center" wrapText="1"/>
    </xf>
    <xf numFmtId="1" fontId="0" fillId="0" borderId="20" xfId="0" applyNumberFormat="1" applyBorder="1" applyAlignment="1">
      <alignment horizontal="center" vertical="center" wrapText="1"/>
    </xf>
    <xf numFmtId="0" fontId="0" fillId="7" borderId="21" xfId="0" applyFill="1" applyBorder="1" applyAlignment="1">
      <alignment horizontal="center" vertical="center" wrapText="1"/>
    </xf>
    <xf numFmtId="0" fontId="0" fillId="7" borderId="22" xfId="0" applyFill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0" xfId="0" applyFont="1" applyFill="1" applyAlignment="1">
      <alignment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1" fontId="0" fillId="0" borderId="23" xfId="0" applyNumberFormat="1" applyBorder="1" applyAlignment="1">
      <alignment horizontal="center" vertical="center" wrapText="1"/>
    </xf>
    <xf numFmtId="1" fontId="0" fillId="0" borderId="24" xfId="0" applyNumberFormat="1" applyBorder="1" applyAlignment="1">
      <alignment horizontal="center" vertical="center" wrapText="1"/>
    </xf>
    <xf numFmtId="169" fontId="6" fillId="0" borderId="10" xfId="0" applyNumberFormat="1" applyFont="1" applyFill="1" applyBorder="1" applyAlignment="1">
      <alignment wrapText="1"/>
    </xf>
    <xf numFmtId="169" fontId="0" fillId="0" borderId="10" xfId="0" applyNumberFormat="1" applyFill="1" applyBorder="1" applyAlignment="1">
      <alignment wrapText="1"/>
    </xf>
    <xf numFmtId="169" fontId="6" fillId="0" borderId="12" xfId="0" applyNumberFormat="1" applyFont="1" applyFill="1" applyBorder="1" applyAlignment="1">
      <alignment wrapText="1"/>
    </xf>
    <xf numFmtId="169" fontId="0" fillId="0" borderId="10" xfId="0" applyNumberFormat="1" applyBorder="1" applyAlignment="1">
      <alignment wrapText="1"/>
    </xf>
    <xf numFmtId="168" fontId="4" fillId="0" borderId="10" xfId="0" applyNumberFormat="1" applyFont="1" applyFill="1" applyBorder="1" applyAlignment="1">
      <alignment wrapText="1"/>
    </xf>
    <xf numFmtId="168" fontId="4" fillId="0" borderId="10" xfId="0" applyNumberFormat="1" applyFont="1" applyBorder="1" applyAlignment="1">
      <alignment wrapText="1"/>
    </xf>
    <xf numFmtId="0" fontId="23" fillId="0" borderId="0" xfId="55" applyFont="1" applyAlignment="1">
      <alignment horizontal="center" vertical="center" wrapText="1"/>
      <protection/>
    </xf>
    <xf numFmtId="0" fontId="20" fillId="0" borderId="0" xfId="55" applyFont="1" applyAlignment="1">
      <alignment wrapText="1"/>
      <protection/>
    </xf>
    <xf numFmtId="0" fontId="23" fillId="0" borderId="0" xfId="55" applyFont="1" applyAlignment="1">
      <alignment horizontal="center" wrapText="1"/>
      <protection/>
    </xf>
    <xf numFmtId="169" fontId="24" fillId="0" borderId="0" xfId="55" applyNumberFormat="1" applyFont="1" applyAlignment="1">
      <alignment vertical="center" wrapText="1"/>
      <protection/>
    </xf>
    <xf numFmtId="0" fontId="23" fillId="0" borderId="0" xfId="55" applyFont="1" applyAlignment="1">
      <alignment wrapText="1"/>
      <protection/>
    </xf>
    <xf numFmtId="0" fontId="26" fillId="0" borderId="25" xfId="55" applyFont="1" applyFill="1" applyBorder="1" applyAlignment="1">
      <alignment horizontal="center" vertical="center" wrapText="1"/>
      <protection/>
    </xf>
    <xf numFmtId="0" fontId="26" fillId="0" borderId="0" xfId="55" applyFont="1" applyFill="1" applyBorder="1" applyAlignment="1">
      <alignment horizontal="center" vertical="center" wrapText="1"/>
      <protection/>
    </xf>
    <xf numFmtId="0" fontId="25" fillId="0" borderId="11" xfId="55" applyFont="1" applyFill="1" applyBorder="1" applyAlignment="1">
      <alignment horizontal="center" vertical="center" wrapText="1"/>
      <protection/>
    </xf>
    <xf numFmtId="1" fontId="26" fillId="0" borderId="10" xfId="55" applyNumberFormat="1" applyFont="1" applyFill="1" applyBorder="1" applyAlignment="1">
      <alignment horizontal="center" vertical="center" wrapText="1"/>
      <protection/>
    </xf>
    <xf numFmtId="169" fontId="28" fillId="0" borderId="10" xfId="55" applyNumberFormat="1" applyFont="1" applyFill="1" applyBorder="1" applyAlignment="1">
      <alignment horizontal="center" vertical="center" wrapText="1"/>
      <protection/>
    </xf>
    <xf numFmtId="0" fontId="25" fillId="4" borderId="10" xfId="55" applyFont="1" applyFill="1" applyBorder="1" applyAlignment="1">
      <alignment horizontal="left" vertical="center" wrapText="1"/>
      <protection/>
    </xf>
    <xf numFmtId="3" fontId="25" fillId="4" borderId="10" xfId="55" applyNumberFormat="1" applyFont="1" applyFill="1" applyBorder="1" applyAlignment="1">
      <alignment horizontal="center" vertical="center" wrapText="1"/>
      <protection/>
    </xf>
    <xf numFmtId="0" fontId="25" fillId="0" borderId="10" xfId="55" applyFont="1" applyFill="1" applyBorder="1" applyAlignment="1">
      <alignment horizontal="left" vertical="center" wrapText="1"/>
      <protection/>
    </xf>
    <xf numFmtId="3" fontId="25" fillId="0" borderId="10" xfId="55" applyNumberFormat="1" applyFont="1" applyFill="1" applyBorder="1" applyAlignment="1">
      <alignment horizontal="center" vertical="center" wrapText="1"/>
      <protection/>
    </xf>
    <xf numFmtId="3" fontId="23" fillId="0" borderId="0" xfId="55" applyNumberFormat="1" applyFont="1" applyAlignment="1">
      <alignment horizontal="center" vertical="center" wrapText="1"/>
      <protection/>
    </xf>
    <xf numFmtId="0" fontId="17" fillId="0" borderId="11" xfId="55" applyFont="1" applyBorder="1" applyAlignment="1">
      <alignment horizontal="left" vertical="center" wrapText="1"/>
      <protection/>
    </xf>
    <xf numFmtId="0" fontId="20" fillId="0" borderId="0" xfId="55" applyFont="1" applyBorder="1" applyAlignment="1">
      <alignment horizontal="left" vertical="center" wrapText="1"/>
      <protection/>
    </xf>
    <xf numFmtId="169" fontId="20" fillId="0" borderId="0" xfId="55" applyNumberFormat="1" applyFont="1" applyBorder="1" applyAlignment="1">
      <alignment horizontal="left" vertical="center" wrapText="1"/>
      <protection/>
    </xf>
    <xf numFmtId="0" fontId="20" fillId="0" borderId="10" xfId="55" applyFont="1" applyBorder="1" applyAlignment="1">
      <alignment horizontal="left" vertical="center" wrapText="1"/>
      <protection/>
    </xf>
    <xf numFmtId="0" fontId="17" fillId="0" borderId="11" xfId="55" applyFont="1" applyBorder="1" applyAlignment="1">
      <alignment horizontal="center" vertical="center" wrapText="1"/>
      <protection/>
    </xf>
    <xf numFmtId="0" fontId="23" fillId="0" borderId="0" xfId="55" applyFont="1" applyBorder="1" applyAlignment="1">
      <alignment horizontal="center" vertical="center" wrapText="1"/>
      <protection/>
    </xf>
    <xf numFmtId="169" fontId="25" fillId="4" borderId="10" xfId="55" applyNumberFormat="1" applyFont="1" applyFill="1" applyBorder="1" applyAlignment="1">
      <alignment horizontal="center" vertical="center"/>
      <protection/>
    </xf>
    <xf numFmtId="169" fontId="25" fillId="4" borderId="10" xfId="55" applyNumberFormat="1" applyFont="1" applyFill="1" applyBorder="1" applyAlignment="1">
      <alignment horizontal="center" vertical="center" wrapText="1"/>
      <protection/>
    </xf>
    <xf numFmtId="0" fontId="29" fillId="0" borderId="0" xfId="55" applyFont="1" applyAlignment="1">
      <alignment horizontal="center" vertical="center" wrapText="1"/>
      <protection/>
    </xf>
    <xf numFmtId="169" fontId="25" fillId="0" borderId="10" xfId="55" applyNumberFormat="1" applyFont="1" applyFill="1" applyBorder="1" applyAlignment="1">
      <alignment horizontal="center" vertical="center" wrapText="1"/>
      <protection/>
    </xf>
    <xf numFmtId="0" fontId="17" fillId="0" borderId="26" xfId="55" applyFont="1" applyBorder="1" applyAlignment="1">
      <alignment vertical="center" wrapText="1"/>
      <protection/>
    </xf>
    <xf numFmtId="0" fontId="20" fillId="0" borderId="12" xfId="55" applyFont="1" applyBorder="1" applyAlignment="1">
      <alignment vertical="center" wrapText="1"/>
      <protection/>
    </xf>
    <xf numFmtId="0" fontId="17" fillId="20" borderId="26" xfId="55" applyFont="1" applyFill="1" applyBorder="1" applyAlignment="1">
      <alignment vertical="center" wrapText="1"/>
      <protection/>
    </xf>
    <xf numFmtId="0" fontId="25" fillId="20" borderId="10" xfId="55" applyFont="1" applyFill="1" applyBorder="1" applyAlignment="1">
      <alignment horizontal="left" vertical="center" wrapText="1"/>
      <protection/>
    </xf>
    <xf numFmtId="168" fontId="25" fillId="20" borderId="10" xfId="55" applyNumberFormat="1" applyFont="1" applyFill="1" applyBorder="1" applyAlignment="1">
      <alignment horizontal="center" vertical="center" wrapText="1"/>
      <protection/>
    </xf>
    <xf numFmtId="0" fontId="20" fillId="20" borderId="0" xfId="55" applyFont="1" applyFill="1" applyBorder="1" applyAlignment="1">
      <alignment vertical="center" wrapText="1"/>
      <protection/>
    </xf>
    <xf numFmtId="169" fontId="25" fillId="0" borderId="10" xfId="55" applyNumberFormat="1" applyFont="1" applyFill="1" applyBorder="1" applyAlignment="1">
      <alignment horizontal="center" vertical="center"/>
      <protection/>
    </xf>
    <xf numFmtId="169" fontId="23" fillId="0" borderId="0" xfId="55" applyNumberFormat="1" applyFont="1" applyAlignment="1">
      <alignment horizontal="center" vertical="center" wrapText="1"/>
      <protection/>
    </xf>
    <xf numFmtId="3" fontId="25" fillId="0" borderId="10" xfId="55" applyNumberFormat="1" applyFont="1" applyBorder="1" applyAlignment="1">
      <alignment horizontal="center" vertical="center"/>
      <protection/>
    </xf>
    <xf numFmtId="169" fontId="25" fillId="0" borderId="10" xfId="55" applyNumberFormat="1" applyFont="1" applyBorder="1" applyAlignment="1">
      <alignment horizontal="center" vertical="center" wrapText="1"/>
      <protection/>
    </xf>
    <xf numFmtId="168" fontId="31" fillId="4" borderId="10" xfId="55" applyNumberFormat="1" applyFont="1" applyFill="1" applyBorder="1" applyAlignment="1">
      <alignment horizontal="center" vertical="center"/>
      <protection/>
    </xf>
    <xf numFmtId="168" fontId="25" fillId="0" borderId="10" xfId="55" applyNumberFormat="1" applyFont="1" applyFill="1" applyBorder="1" applyAlignment="1">
      <alignment horizontal="center" vertical="center" wrapText="1"/>
      <protection/>
    </xf>
    <xf numFmtId="0" fontId="25" fillId="0" borderId="0" xfId="55" applyFont="1" applyBorder="1" applyAlignment="1">
      <alignment horizontal="center" vertical="center" wrapText="1"/>
      <protection/>
    </xf>
    <xf numFmtId="0" fontId="32" fillId="0" borderId="0" xfId="55" applyFont="1" applyFill="1" applyBorder="1" applyAlignment="1">
      <alignment horizontal="justify" vertical="center" wrapText="1"/>
      <protection/>
    </xf>
    <xf numFmtId="0" fontId="25" fillId="0" borderId="0" xfId="55" applyFont="1" applyFill="1" applyBorder="1" applyAlignment="1">
      <alignment horizontal="left" vertical="center" wrapText="1"/>
      <protection/>
    </xf>
    <xf numFmtId="169" fontId="25" fillId="0" borderId="0" xfId="55" applyNumberFormat="1" applyFont="1" applyFill="1" applyBorder="1" applyAlignment="1">
      <alignment horizontal="center" vertical="center"/>
      <protection/>
    </xf>
    <xf numFmtId="169" fontId="25" fillId="0" borderId="0" xfId="55" applyNumberFormat="1" applyFont="1" applyFill="1" applyBorder="1" applyAlignment="1">
      <alignment horizontal="center" vertical="center" wrapText="1"/>
      <protection/>
    </xf>
    <xf numFmtId="169" fontId="28" fillId="0" borderId="0" xfId="55" applyNumberFormat="1" applyFont="1" applyFill="1" applyBorder="1" applyAlignment="1">
      <alignment horizontal="center" vertical="center"/>
      <protection/>
    </xf>
    <xf numFmtId="4" fontId="28" fillId="0" borderId="0" xfId="55" applyNumberFormat="1" applyFont="1" applyFill="1" applyBorder="1" applyAlignment="1">
      <alignment horizontal="center" vertical="center"/>
      <protection/>
    </xf>
    <xf numFmtId="0" fontId="23" fillId="0" borderId="11" xfId="55" applyFont="1" applyBorder="1" applyAlignment="1">
      <alignment horizontal="center" vertical="center" wrapText="1"/>
      <protection/>
    </xf>
    <xf numFmtId="0" fontId="23" fillId="0" borderId="10" xfId="55" applyFont="1" applyBorder="1" applyAlignment="1">
      <alignment horizontal="center" vertical="center" wrapText="1"/>
      <protection/>
    </xf>
    <xf numFmtId="0" fontId="23" fillId="0" borderId="0" xfId="55" applyFont="1" applyAlignment="1">
      <alignment vertical="top" wrapText="1"/>
      <protection/>
    </xf>
    <xf numFmtId="0" fontId="24" fillId="0" borderId="0" xfId="55" applyFont="1" applyBorder="1" applyAlignment="1">
      <alignment vertical="top" wrapText="1"/>
      <protection/>
    </xf>
    <xf numFmtId="0" fontId="23" fillId="0" borderId="0" xfId="55" applyFont="1" applyBorder="1" applyAlignment="1">
      <alignment horizontal="center" wrapText="1"/>
      <protection/>
    </xf>
    <xf numFmtId="0" fontId="20" fillId="0" borderId="0" xfId="55" applyFont="1" applyBorder="1" applyAlignment="1">
      <alignment wrapText="1"/>
      <protection/>
    </xf>
    <xf numFmtId="0" fontId="22" fillId="0" borderId="10" xfId="62" applyBorder="1">
      <alignment/>
      <protection/>
    </xf>
    <xf numFmtId="2" fontId="22" fillId="0" borderId="10" xfId="62" applyNumberFormat="1" applyBorder="1" applyAlignment="1">
      <alignment wrapText="1"/>
      <protection/>
    </xf>
    <xf numFmtId="2" fontId="22" fillId="0" borderId="10" xfId="62" applyNumberFormat="1" applyBorder="1" applyAlignment="1">
      <alignment horizontal="left" vertical="center" wrapText="1"/>
      <protection/>
    </xf>
    <xf numFmtId="0" fontId="22" fillId="26" borderId="10" xfId="62" applyFill="1" applyBorder="1" applyAlignment="1">
      <alignment horizontal="center" vertical="center"/>
      <protection/>
    </xf>
    <xf numFmtId="0" fontId="21" fillId="7" borderId="10" xfId="0" applyFont="1" applyFill="1" applyBorder="1" applyAlignment="1">
      <alignment horizontal="center" vertical="center" textRotation="90" wrapText="1"/>
    </xf>
    <xf numFmtId="168" fontId="25" fillId="4" borderId="10" xfId="55" applyNumberFormat="1" applyFont="1" applyFill="1" applyBorder="1" applyAlignment="1">
      <alignment horizontal="center" vertical="center" wrapText="1"/>
      <protection/>
    </xf>
    <xf numFmtId="3" fontId="26" fillId="4" borderId="10" xfId="55" applyNumberFormat="1" applyFont="1" applyFill="1" applyBorder="1" applyAlignment="1">
      <alignment horizontal="center" vertical="center" wrapText="1"/>
      <protection/>
    </xf>
    <xf numFmtId="3" fontId="26" fillId="0" borderId="27" xfId="55" applyNumberFormat="1" applyFont="1" applyFill="1" applyBorder="1" applyAlignment="1">
      <alignment horizontal="center" vertical="center" wrapText="1"/>
      <protection/>
    </xf>
    <xf numFmtId="3" fontId="26" fillId="0" borderId="12" xfId="55" applyNumberFormat="1" applyFont="1" applyFill="1" applyBorder="1" applyAlignment="1">
      <alignment horizontal="center" vertical="center" wrapText="1"/>
      <protection/>
    </xf>
    <xf numFmtId="3" fontId="26" fillId="4" borderId="12" xfId="55" applyNumberFormat="1" applyFont="1" applyFill="1" applyBorder="1" applyAlignment="1">
      <alignment horizontal="center" vertical="center" wrapText="1"/>
      <protection/>
    </xf>
    <xf numFmtId="3" fontId="25" fillId="4" borderId="10" xfId="55" applyNumberFormat="1" applyFont="1" applyFill="1" applyBorder="1" applyAlignment="1">
      <alignment horizontal="center" vertical="center"/>
      <protection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168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35" fillId="0" borderId="10" xfId="0" applyFont="1" applyBorder="1" applyAlignment="1">
      <alignment horizontal="center" vertical="center" wrapText="1"/>
    </xf>
    <xf numFmtId="1" fontId="4" fillId="7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" fontId="4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4" fontId="4" fillId="7" borderId="27" xfId="0" applyNumberFormat="1" applyFont="1" applyFill="1" applyBorder="1" applyAlignment="1">
      <alignment horizontal="center" vertical="center" wrapText="1"/>
    </xf>
    <xf numFmtId="169" fontId="0" fillId="0" borderId="10" xfId="0" applyNumberFormat="1" applyFont="1" applyBorder="1" applyAlignment="1">
      <alignment vertical="center"/>
    </xf>
    <xf numFmtId="169" fontId="0" fillId="0" borderId="10" xfId="0" applyNumberFormat="1" applyFont="1" applyFill="1" applyBorder="1" applyAlignment="1">
      <alignment horizontal="center" vertical="center"/>
    </xf>
    <xf numFmtId="169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" fontId="4" fillId="7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0" fontId="4" fillId="7" borderId="10" xfId="0" applyFont="1" applyFill="1" applyBorder="1" applyAlignment="1">
      <alignment horizontal="center" vertical="center"/>
    </xf>
    <xf numFmtId="168" fontId="4" fillId="7" borderId="10" xfId="0" applyNumberFormat="1" applyFont="1" applyFill="1" applyBorder="1" applyAlignment="1">
      <alignment horizontal="center" vertical="center"/>
    </xf>
    <xf numFmtId="3" fontId="4" fillId="7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4" fillId="7" borderId="1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4" fontId="4" fillId="7" borderId="13" xfId="0" applyNumberFormat="1" applyFont="1" applyFill="1" applyBorder="1" applyAlignment="1">
      <alignment horizontal="center" vertical="center" wrapText="1"/>
    </xf>
    <xf numFmtId="1" fontId="0" fillId="0" borderId="27" xfId="0" applyNumberFormat="1" applyBorder="1" applyAlignment="1">
      <alignment horizontal="center" vertical="center"/>
    </xf>
    <xf numFmtId="168" fontId="4" fillId="27" borderId="28" xfId="0" applyNumberFormat="1" applyFont="1" applyFill="1" applyBorder="1" applyAlignment="1">
      <alignment horizontal="center" vertical="center"/>
    </xf>
    <xf numFmtId="168" fontId="4" fillId="27" borderId="29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/>
    </xf>
    <xf numFmtId="3" fontId="25" fillId="0" borderId="10" xfId="55" applyNumberFormat="1" applyFont="1" applyBorder="1" applyAlignment="1">
      <alignment horizontal="center" vertical="center" wrapText="1"/>
      <protection/>
    </xf>
    <xf numFmtId="0" fontId="41" fillId="0" borderId="0" xfId="0" applyFont="1" applyBorder="1" applyAlignment="1">
      <alignment horizontal="left" vertical="center" wrapText="1"/>
    </xf>
    <xf numFmtId="0" fontId="0" fillId="7" borderId="10" xfId="0" applyFill="1" applyBorder="1" applyAlignment="1">
      <alignment horizontal="center" vertical="center"/>
    </xf>
    <xf numFmtId="4" fontId="34" fillId="7" borderId="12" xfId="0" applyNumberFormat="1" applyFont="1" applyFill="1" applyBorder="1" applyAlignment="1">
      <alignment horizontal="center" vertical="center" wrapText="1"/>
    </xf>
    <xf numFmtId="0" fontId="25" fillId="0" borderId="12" xfId="55" applyFont="1" applyFill="1" applyBorder="1" applyAlignment="1">
      <alignment horizontal="left" vertical="center" wrapText="1"/>
      <protection/>
    </xf>
    <xf numFmtId="0" fontId="25" fillId="0" borderId="27" xfId="55" applyFont="1" applyFill="1" applyBorder="1" applyAlignment="1">
      <alignment horizontal="left" vertical="center" wrapText="1"/>
      <protection/>
    </xf>
    <xf numFmtId="49" fontId="22" fillId="0" borderId="0" xfId="62" applyNumberFormat="1" applyAlignment="1">
      <alignment horizontal="center"/>
      <protection/>
    </xf>
    <xf numFmtId="0" fontId="22" fillId="0" borderId="0" xfId="62" applyAlignment="1">
      <alignment horizontal="centerContinuous"/>
      <protection/>
    </xf>
    <xf numFmtId="0" fontId="22" fillId="0" borderId="0" xfId="62">
      <alignment/>
      <protection/>
    </xf>
    <xf numFmtId="0" fontId="22" fillId="0" borderId="0" xfId="62" applyAlignment="1">
      <alignment/>
      <protection/>
    </xf>
    <xf numFmtId="0" fontId="22" fillId="0" borderId="10" xfId="62" applyBorder="1" applyAlignment="1">
      <alignment horizontal="center"/>
      <protection/>
    </xf>
    <xf numFmtId="49" fontId="22" fillId="0" borderId="10" xfId="62" applyNumberFormat="1" applyBorder="1" applyAlignment="1">
      <alignment horizontal="center"/>
      <protection/>
    </xf>
    <xf numFmtId="0" fontId="4" fillId="0" borderId="10" xfId="62" applyFont="1" applyBorder="1" applyAlignment="1">
      <alignment wrapText="1"/>
      <protection/>
    </xf>
    <xf numFmtId="0" fontId="4" fillId="0" borderId="10" xfId="62" applyFont="1" applyBorder="1" applyAlignment="1">
      <alignment horizontal="center"/>
      <protection/>
    </xf>
    <xf numFmtId="203" fontId="22" fillId="0" borderId="10" xfId="62" applyNumberFormat="1" applyBorder="1" applyAlignment="1">
      <alignment horizontal="center"/>
      <protection/>
    </xf>
    <xf numFmtId="1" fontId="22" fillId="0" borderId="10" xfId="62" applyNumberFormat="1" applyBorder="1" applyAlignment="1">
      <alignment horizontal="center"/>
      <protection/>
    </xf>
    <xf numFmtId="0" fontId="4" fillId="20" borderId="10" xfId="62" applyFont="1" applyFill="1" applyBorder="1" applyAlignment="1">
      <alignment wrapText="1"/>
      <protection/>
    </xf>
    <xf numFmtId="0" fontId="4" fillId="20" borderId="10" xfId="62" applyFont="1" applyFill="1" applyBorder="1" applyAlignment="1">
      <alignment horizontal="center"/>
      <protection/>
    </xf>
    <xf numFmtId="203" fontId="4" fillId="20" borderId="10" xfId="62" applyNumberFormat="1" applyFont="1" applyFill="1" applyBorder="1" applyAlignment="1">
      <alignment horizontal="center"/>
      <protection/>
    </xf>
    <xf numFmtId="0" fontId="22" fillId="0" borderId="10" xfId="62" applyBorder="1" applyAlignment="1">
      <alignment horizontal="left" wrapText="1"/>
      <protection/>
    </xf>
    <xf numFmtId="49" fontId="4" fillId="0" borderId="10" xfId="62" applyNumberFormat="1" applyFont="1" applyBorder="1" applyAlignment="1">
      <alignment horizontal="center"/>
      <protection/>
    </xf>
    <xf numFmtId="0" fontId="4" fillId="0" borderId="10" xfId="62" applyFont="1" applyBorder="1" applyAlignment="1">
      <alignment horizontal="left" wrapText="1"/>
      <protection/>
    </xf>
    <xf numFmtId="203" fontId="4" fillId="0" borderId="10" xfId="62" applyNumberFormat="1" applyFont="1" applyBorder="1" applyAlignment="1">
      <alignment horizontal="center"/>
      <protection/>
    </xf>
    <xf numFmtId="0" fontId="4" fillId="0" borderId="0" xfId="62" applyFont="1">
      <alignment/>
      <protection/>
    </xf>
    <xf numFmtId="0" fontId="6" fillId="0" borderId="10" xfId="62" applyFont="1" applyBorder="1" applyAlignment="1">
      <alignment horizontal="left" wrapText="1"/>
      <protection/>
    </xf>
    <xf numFmtId="0" fontId="22" fillId="0" borderId="30" xfId="62" applyFill="1" applyBorder="1" applyAlignment="1">
      <alignment horizontal="center"/>
      <protection/>
    </xf>
    <xf numFmtId="0" fontId="6" fillId="0" borderId="10" xfId="62" applyFont="1" applyBorder="1" applyAlignment="1">
      <alignment wrapText="1"/>
      <protection/>
    </xf>
    <xf numFmtId="0" fontId="16" fillId="0" borderId="0" xfId="62" applyFont="1">
      <alignment/>
      <protection/>
    </xf>
    <xf numFmtId="49" fontId="22" fillId="4" borderId="10" xfId="62" applyNumberFormat="1" applyFill="1" applyBorder="1" applyAlignment="1">
      <alignment horizontal="center"/>
      <protection/>
    </xf>
    <xf numFmtId="0" fontId="4" fillId="4" borderId="10" xfId="62" applyFont="1" applyFill="1" applyBorder="1" applyAlignment="1">
      <alignment wrapText="1"/>
      <protection/>
    </xf>
    <xf numFmtId="0" fontId="4" fillId="4" borderId="10" xfId="62" applyFont="1" applyFill="1" applyBorder="1" applyAlignment="1">
      <alignment horizontal="center"/>
      <protection/>
    </xf>
    <xf numFmtId="203" fontId="22" fillId="4" borderId="10" xfId="62" applyNumberFormat="1" applyFill="1" applyBorder="1" applyAlignment="1">
      <alignment horizontal="center"/>
      <protection/>
    </xf>
    <xf numFmtId="0" fontId="22" fillId="4" borderId="10" xfId="62" applyFill="1" applyBorder="1" applyAlignment="1">
      <alignment horizontal="center"/>
      <protection/>
    </xf>
    <xf numFmtId="203" fontId="4" fillId="4" borderId="10" xfId="62" applyNumberFormat="1" applyFont="1" applyFill="1" applyBorder="1" applyAlignment="1">
      <alignment horizontal="center"/>
      <protection/>
    </xf>
    <xf numFmtId="1" fontId="4" fillId="4" borderId="10" xfId="62" applyNumberFormat="1" applyFont="1" applyFill="1" applyBorder="1" applyAlignment="1">
      <alignment horizontal="center"/>
      <protection/>
    </xf>
    <xf numFmtId="0" fontId="4" fillId="4" borderId="10" xfId="62" applyFont="1" applyFill="1" applyBorder="1" applyAlignment="1">
      <alignment horizontal="left" wrapText="1"/>
      <protection/>
    </xf>
    <xf numFmtId="0" fontId="6" fillId="4" borderId="10" xfId="62" applyFont="1" applyFill="1" applyBorder="1" applyAlignment="1">
      <alignment horizontal="left" wrapText="1"/>
      <protection/>
    </xf>
    <xf numFmtId="0" fontId="6" fillId="4" borderId="10" xfId="62" applyFont="1" applyFill="1" applyBorder="1" applyAlignment="1">
      <alignment wrapText="1"/>
      <protection/>
    </xf>
    <xf numFmtId="0" fontId="43" fillId="0" borderId="10" xfId="62" applyFont="1" applyBorder="1" applyAlignment="1">
      <alignment wrapText="1"/>
      <protection/>
    </xf>
    <xf numFmtId="0" fontId="43" fillId="0" borderId="10" xfId="62" applyFont="1" applyBorder="1" applyAlignment="1">
      <alignment vertical="top" wrapText="1"/>
      <protection/>
    </xf>
    <xf numFmtId="1" fontId="22" fillId="0" borderId="0" xfId="62" applyNumberFormat="1" applyAlignment="1">
      <alignment horizontal="center" vertical="center"/>
      <protection/>
    </xf>
    <xf numFmtId="203" fontId="22" fillId="0" borderId="0" xfId="62" applyNumberFormat="1">
      <alignment/>
      <protection/>
    </xf>
    <xf numFmtId="0" fontId="22" fillId="0" borderId="0" xfId="62" applyAlignment="1">
      <alignment horizontal="left"/>
      <protection/>
    </xf>
    <xf numFmtId="0" fontId="22" fillId="0" borderId="0" xfId="62" applyBorder="1" applyAlignment="1">
      <alignment/>
      <protection/>
    </xf>
    <xf numFmtId="0" fontId="20" fillId="0" borderId="10" xfId="62" applyFont="1" applyFill="1" applyBorder="1" applyAlignment="1">
      <alignment horizontal="left" vertical="center" wrapText="1"/>
      <protection/>
    </xf>
    <xf numFmtId="0" fontId="20" fillId="0" borderId="10" xfId="62" applyFont="1" applyFill="1" applyBorder="1" applyAlignment="1">
      <alignment horizontal="center" vertical="center"/>
      <protection/>
    </xf>
    <xf numFmtId="0" fontId="22" fillId="0" borderId="0" xfId="62" applyFill="1">
      <alignment/>
      <protection/>
    </xf>
    <xf numFmtId="0" fontId="4" fillId="0" borderId="0" xfId="62" applyFont="1" applyFill="1">
      <alignment/>
      <protection/>
    </xf>
    <xf numFmtId="0" fontId="46" fillId="0" borderId="10" xfId="62" applyFont="1" applyFill="1" applyBorder="1" applyAlignment="1">
      <alignment horizontal="left" vertical="center" wrapText="1"/>
      <protection/>
    </xf>
    <xf numFmtId="0" fontId="5" fillId="0" borderId="0" xfId="0" applyFont="1" applyAlignment="1">
      <alignment/>
    </xf>
    <xf numFmtId="0" fontId="5" fillId="7" borderId="11" xfId="0" applyFont="1" applyFill="1" applyBorder="1" applyAlignment="1">
      <alignment horizontal="center" vertical="center" wrapText="1"/>
    </xf>
    <xf numFmtId="0" fontId="5" fillId="7" borderId="10" xfId="0" applyFont="1" applyFill="1" applyBorder="1" applyAlignment="1">
      <alignment horizontal="center" vertical="center" wrapText="1"/>
    </xf>
    <xf numFmtId="0" fontId="0" fillId="7" borderId="10" xfId="0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169" fontId="5" fillId="0" borderId="10" xfId="0" applyNumberFormat="1" applyFont="1" applyBorder="1" applyAlignment="1">
      <alignment horizontal="center" vertical="center"/>
    </xf>
    <xf numFmtId="169" fontId="47" fillId="0" borderId="10" xfId="0" applyNumberFormat="1" applyFont="1" applyBorder="1" applyAlignment="1">
      <alignment horizontal="center" vertical="center"/>
    </xf>
    <xf numFmtId="169" fontId="11" fillId="0" borderId="10" xfId="0" applyNumberFormat="1" applyFont="1" applyBorder="1" applyAlignment="1">
      <alignment horizontal="center" vertical="center" wrapText="1"/>
    </xf>
    <xf numFmtId="169" fontId="5" fillId="20" borderId="10" xfId="0" applyNumberFormat="1" applyFont="1" applyFill="1" applyBorder="1" applyAlignment="1">
      <alignment horizontal="center" vertical="center" wrapText="1"/>
    </xf>
    <xf numFmtId="169" fontId="47" fillId="20" borderId="10" xfId="0" applyNumberFormat="1" applyFont="1" applyFill="1" applyBorder="1" applyAlignment="1">
      <alignment horizontal="center" vertical="center"/>
    </xf>
    <xf numFmtId="169" fontId="0" fillId="0" borderId="10" xfId="0" applyNumberFormat="1" applyBorder="1" applyAlignment="1">
      <alignment/>
    </xf>
    <xf numFmtId="0" fontId="5" fillId="0" borderId="11" xfId="0" applyFont="1" applyFill="1" applyBorder="1" applyAlignment="1">
      <alignment horizontal="left" vertical="center" wrapText="1"/>
    </xf>
    <xf numFmtId="0" fontId="5" fillId="0" borderId="30" xfId="0" applyFont="1" applyFill="1" applyBorder="1" applyAlignment="1">
      <alignment horizontal="left" vertical="center" wrapText="1"/>
    </xf>
    <xf numFmtId="168" fontId="0" fillId="0" borderId="0" xfId="0" applyNumberFormat="1" applyAlignment="1">
      <alignment/>
    </xf>
    <xf numFmtId="0" fontId="5" fillId="7" borderId="11" xfId="0" applyFont="1" applyFill="1" applyBorder="1" applyAlignment="1">
      <alignment horizontal="left" vertical="center" wrapText="1"/>
    </xf>
    <xf numFmtId="0" fontId="0" fillId="7" borderId="10" xfId="0" applyFill="1" applyBorder="1" applyAlignment="1">
      <alignment vertical="center"/>
    </xf>
    <xf numFmtId="3" fontId="0" fillId="7" borderId="10" xfId="0" applyNumberFormat="1" applyFill="1" applyBorder="1" applyAlignment="1">
      <alignment horizontal="center" vertical="center"/>
    </xf>
    <xf numFmtId="169" fontId="47" fillId="7" borderId="10" xfId="0" applyNumberFormat="1" applyFont="1" applyFill="1" applyBorder="1" applyAlignment="1">
      <alignment horizontal="center" vertical="center"/>
    </xf>
    <xf numFmtId="169" fontId="17" fillId="0" borderId="31" xfId="0" applyNumberFormat="1" applyFont="1" applyFill="1" applyBorder="1" applyAlignment="1">
      <alignment horizontal="right" vertical="center" wrapText="1"/>
    </xf>
    <xf numFmtId="169" fontId="1" fillId="0" borderId="32" xfId="0" applyNumberFormat="1" applyFont="1" applyFill="1" applyBorder="1" applyAlignment="1">
      <alignment horizontal="right"/>
    </xf>
    <xf numFmtId="169" fontId="1" fillId="0" borderId="33" xfId="0" applyNumberFormat="1" applyFont="1" applyFill="1" applyBorder="1" applyAlignment="1">
      <alignment horizontal="right"/>
    </xf>
    <xf numFmtId="169" fontId="0" fillId="25" borderId="15" xfId="0" applyNumberFormat="1" applyFont="1" applyFill="1" applyBorder="1" applyAlignment="1">
      <alignment horizontal="center" vertical="center" wrapText="1"/>
    </xf>
    <xf numFmtId="169" fontId="4" fillId="25" borderId="15" xfId="0" applyNumberFormat="1" applyFont="1" applyFill="1" applyBorder="1" applyAlignment="1">
      <alignment horizontal="center" vertical="center" wrapText="1"/>
    </xf>
    <xf numFmtId="169" fontId="4" fillId="25" borderId="15" xfId="0" applyNumberFormat="1" applyFont="1" applyFill="1" applyBorder="1" applyAlignment="1">
      <alignment horizontal="center" vertical="center"/>
    </xf>
    <xf numFmtId="169" fontId="5" fillId="0" borderId="16" xfId="0" applyNumberFormat="1" applyFont="1" applyFill="1" applyBorder="1" applyAlignment="1">
      <alignment horizontal="center" vertical="center" wrapText="1"/>
    </xf>
    <xf numFmtId="168" fontId="0" fillId="0" borderId="16" xfId="0" applyNumberFormat="1" applyFont="1" applyBorder="1" applyAlignment="1">
      <alignment horizontal="center" vertical="center"/>
    </xf>
    <xf numFmtId="168" fontId="0" fillId="0" borderId="16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0" xfId="0" applyFont="1" applyFill="1" applyBorder="1" applyAlignment="1">
      <alignment wrapText="1"/>
    </xf>
    <xf numFmtId="3" fontId="1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Border="1" applyAlignment="1">
      <alignment vertical="top" wrapText="1"/>
    </xf>
    <xf numFmtId="1" fontId="1" fillId="0" borderId="0" xfId="0" applyNumberFormat="1" applyFont="1" applyAlignment="1">
      <alignment wrapText="1"/>
    </xf>
    <xf numFmtId="3" fontId="7" fillId="0" borderId="10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 vertical="center"/>
    </xf>
    <xf numFmtId="0" fontId="16" fillId="0" borderId="0" xfId="0" applyFont="1" applyAlignment="1">
      <alignment/>
    </xf>
    <xf numFmtId="0" fontId="0" fillId="7" borderId="0" xfId="0" applyFill="1" applyAlignment="1">
      <alignment/>
    </xf>
    <xf numFmtId="1" fontId="0" fillId="7" borderId="0" xfId="0" applyNumberFormat="1" applyFill="1" applyAlignment="1">
      <alignment horizontal="center" vertical="center"/>
    </xf>
    <xf numFmtId="168" fontId="0" fillId="0" borderId="0" xfId="0" applyNumberFormat="1" applyAlignment="1">
      <alignment horizontal="center" vertical="center"/>
    </xf>
    <xf numFmtId="1" fontId="0" fillId="7" borderId="0" xfId="0" applyNumberFormat="1" applyFill="1" applyAlignment="1">
      <alignment/>
    </xf>
    <xf numFmtId="1" fontId="0" fillId="0" borderId="0" xfId="0" applyNumberFormat="1" applyFill="1" applyAlignment="1">
      <alignment/>
    </xf>
    <xf numFmtId="0" fontId="4" fillId="7" borderId="0" xfId="0" applyFont="1" applyFill="1" applyAlignment="1">
      <alignment/>
    </xf>
    <xf numFmtId="1" fontId="4" fillId="0" borderId="0" xfId="0" applyNumberFormat="1" applyFont="1" applyAlignment="1">
      <alignment/>
    </xf>
    <xf numFmtId="0" fontId="48" fillId="0" borderId="0" xfId="0" applyFont="1" applyAlignment="1">
      <alignment/>
    </xf>
    <xf numFmtId="0" fontId="16" fillId="7" borderId="0" xfId="0" applyFont="1" applyFill="1" applyAlignment="1">
      <alignment/>
    </xf>
    <xf numFmtId="1" fontId="16" fillId="0" borderId="0" xfId="0" applyNumberFormat="1" applyFont="1" applyAlignment="1">
      <alignment horizontal="center" vertical="center"/>
    </xf>
    <xf numFmtId="1" fontId="16" fillId="7" borderId="0" xfId="0" applyNumberFormat="1" applyFont="1" applyFill="1" applyAlignment="1">
      <alignment horizontal="center" vertical="center"/>
    </xf>
    <xf numFmtId="1" fontId="16" fillId="0" borderId="0" xfId="0" applyNumberFormat="1" applyFont="1" applyAlignment="1">
      <alignment/>
    </xf>
    <xf numFmtId="169" fontId="1" fillId="0" borderId="0" xfId="0" applyNumberFormat="1" applyFont="1" applyFill="1" applyAlignment="1">
      <alignment wrapText="1"/>
    </xf>
    <xf numFmtId="169" fontId="0" fillId="0" borderId="0" xfId="0" applyNumberFormat="1" applyFont="1" applyFill="1" applyBorder="1" applyAlignment="1">
      <alignment horizontal="center" vertical="center" wrapText="1"/>
    </xf>
    <xf numFmtId="1" fontId="22" fillId="0" borderId="0" xfId="62" applyNumberFormat="1">
      <alignment/>
      <protection/>
    </xf>
    <xf numFmtId="1" fontId="16" fillId="0" borderId="10" xfId="0" applyNumberFormat="1" applyFont="1" applyBorder="1" applyAlignment="1">
      <alignment horizontal="center" vertical="center"/>
    </xf>
    <xf numFmtId="168" fontId="4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168" fontId="4" fillId="0" borderId="10" xfId="0" applyNumberFormat="1" applyFont="1" applyFill="1" applyBorder="1" applyAlignment="1">
      <alignment horizontal="center" vertical="center"/>
    </xf>
    <xf numFmtId="170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69" fontId="0" fillId="0" borderId="0" xfId="0" applyNumberFormat="1" applyAlignment="1">
      <alignment/>
    </xf>
    <xf numFmtId="3" fontId="4" fillId="4" borderId="10" xfId="62" applyNumberFormat="1" applyFont="1" applyFill="1" applyBorder="1" applyAlignment="1">
      <alignment horizontal="center"/>
      <protection/>
    </xf>
    <xf numFmtId="49" fontId="46" fillId="0" borderId="10" xfId="62" applyNumberFormat="1" applyFont="1" applyFill="1" applyBorder="1" applyAlignment="1">
      <alignment horizontal="right" vertical="center"/>
      <protection/>
    </xf>
    <xf numFmtId="0" fontId="46" fillId="0" borderId="10" xfId="62" applyFont="1" applyFill="1" applyBorder="1" applyAlignment="1">
      <alignment horizontal="right" vertical="center"/>
      <protection/>
    </xf>
    <xf numFmtId="0" fontId="52" fillId="0" borderId="0" xfId="62" applyFont="1" applyFill="1" applyAlignment="1">
      <alignment horizontal="right"/>
      <protection/>
    </xf>
    <xf numFmtId="0" fontId="53" fillId="0" borderId="0" xfId="62" applyFont="1" applyFill="1" applyAlignment="1">
      <alignment horizontal="right"/>
      <protection/>
    </xf>
    <xf numFmtId="49" fontId="20" fillId="0" borderId="10" xfId="62" applyNumberFormat="1" applyFont="1" applyFill="1" applyBorder="1" applyAlignment="1">
      <alignment horizontal="right" vertical="center"/>
      <protection/>
    </xf>
    <xf numFmtId="49" fontId="43" fillId="0" borderId="10" xfId="62" applyNumberFormat="1" applyFont="1" applyBorder="1" applyAlignment="1">
      <alignment horizontal="center" vertical="center"/>
      <protection/>
    </xf>
    <xf numFmtId="0" fontId="43" fillId="0" borderId="10" xfId="62" applyFont="1" applyBorder="1" applyAlignment="1">
      <alignment horizontal="left" vertical="center" wrapText="1"/>
      <protection/>
    </xf>
    <xf numFmtId="0" fontId="43" fillId="0" borderId="10" xfId="62" applyFont="1" applyBorder="1" applyAlignment="1">
      <alignment horizontal="center" vertical="center"/>
      <protection/>
    </xf>
    <xf numFmtId="0" fontId="22" fillId="0" borderId="0" xfId="62" applyFont="1">
      <alignment/>
      <protection/>
    </xf>
    <xf numFmtId="49" fontId="43" fillId="0" borderId="10" xfId="62" applyNumberFormat="1" applyFont="1" applyFill="1" applyBorder="1" applyAlignment="1">
      <alignment horizontal="center" vertical="center"/>
      <protection/>
    </xf>
    <xf numFmtId="0" fontId="43" fillId="0" borderId="10" xfId="62" applyFont="1" applyFill="1" applyBorder="1" applyAlignment="1">
      <alignment horizontal="left" vertical="center" wrapText="1"/>
      <protection/>
    </xf>
    <xf numFmtId="0" fontId="43" fillId="0" borderId="10" xfId="62" applyFont="1" applyFill="1" applyBorder="1" applyAlignment="1">
      <alignment horizontal="center" vertical="center"/>
      <protection/>
    </xf>
    <xf numFmtId="0" fontId="22" fillId="0" borderId="0" xfId="62" applyFont="1" applyFill="1">
      <alignment/>
      <protection/>
    </xf>
    <xf numFmtId="3" fontId="43" fillId="0" borderId="10" xfId="62" applyNumberFormat="1" applyFont="1" applyBorder="1" applyAlignment="1">
      <alignment horizontal="center" vertical="center"/>
      <protection/>
    </xf>
    <xf numFmtId="3" fontId="43" fillId="0" borderId="10" xfId="62" applyNumberFormat="1" applyFont="1" applyFill="1" applyBorder="1" applyAlignment="1">
      <alignment horizontal="center" vertical="center"/>
      <protection/>
    </xf>
    <xf numFmtId="3" fontId="20" fillId="0" borderId="10" xfId="62" applyNumberFormat="1" applyFont="1" applyFill="1" applyBorder="1" applyAlignment="1">
      <alignment horizontal="center" vertical="center"/>
      <protection/>
    </xf>
    <xf numFmtId="3" fontId="46" fillId="0" borderId="10" xfId="62" applyNumberFormat="1" applyFont="1" applyFill="1" applyBorder="1" applyAlignment="1">
      <alignment horizontal="right" vertical="center"/>
      <protection/>
    </xf>
    <xf numFmtId="3" fontId="43" fillId="20" borderId="10" xfId="62" applyNumberFormat="1" applyFont="1" applyFill="1" applyBorder="1" applyAlignment="1">
      <alignment horizontal="center" vertical="center"/>
      <protection/>
    </xf>
    <xf numFmtId="0" fontId="55" fillId="0" borderId="0" xfId="0" applyFont="1" applyAlignment="1">
      <alignment horizontal="center"/>
    </xf>
    <xf numFmtId="0" fontId="17" fillId="7" borderId="10" xfId="0" applyFont="1" applyFill="1" applyBorder="1" applyAlignment="1">
      <alignment horizontal="center" vertical="center" textRotation="90" wrapText="1"/>
    </xf>
    <xf numFmtId="0" fontId="5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/>
    </xf>
    <xf numFmtId="0" fontId="27" fillId="7" borderId="10" xfId="0" applyFont="1" applyFill="1" applyBorder="1" applyAlignment="1">
      <alignment horizontal="center" vertical="center" wrapText="1"/>
    </xf>
    <xf numFmtId="0" fontId="27" fillId="7" borderId="10" xfId="0" applyFont="1" applyFill="1" applyBorder="1" applyAlignment="1">
      <alignment horizontal="center" vertical="center"/>
    </xf>
    <xf numFmtId="206" fontId="22" fillId="0" borderId="0" xfId="62" applyNumberFormat="1" applyFont="1" applyAlignment="1">
      <alignment vertical="center"/>
      <protection/>
    </xf>
    <xf numFmtId="1" fontId="51" fillId="0" borderId="10" xfId="62" applyNumberFormat="1" applyFont="1" applyBorder="1" applyAlignment="1">
      <alignment horizontal="center"/>
      <protection/>
    </xf>
    <xf numFmtId="0" fontId="22" fillId="0" borderId="10" xfId="62" applyFill="1" applyBorder="1" applyAlignment="1">
      <alignment horizontal="center"/>
      <protection/>
    </xf>
    <xf numFmtId="3" fontId="51" fillId="0" borderId="10" xfId="62" applyNumberFormat="1" applyFont="1" applyFill="1" applyBorder="1" applyAlignment="1">
      <alignment horizontal="center"/>
      <protection/>
    </xf>
    <xf numFmtId="1" fontId="22" fillId="0" borderId="10" xfId="62" applyNumberFormat="1" applyFill="1" applyBorder="1" applyAlignment="1">
      <alignment horizontal="center"/>
      <protection/>
    </xf>
    <xf numFmtId="49" fontId="4" fillId="0" borderId="11" xfId="62" applyNumberFormat="1" applyFont="1" applyBorder="1" applyAlignment="1">
      <alignment horizontal="center"/>
      <protection/>
    </xf>
    <xf numFmtId="49" fontId="22" fillId="0" borderId="11" xfId="62" applyNumberFormat="1" applyBorder="1" applyAlignment="1">
      <alignment horizontal="center"/>
      <protection/>
    </xf>
    <xf numFmtId="0" fontId="22" fillId="0" borderId="11" xfId="62" applyBorder="1">
      <alignment/>
      <protection/>
    </xf>
    <xf numFmtId="0" fontId="4" fillId="4" borderId="12" xfId="62" applyFont="1" applyFill="1" applyBorder="1" applyAlignment="1">
      <alignment wrapText="1"/>
      <protection/>
    </xf>
    <xf numFmtId="0" fontId="4" fillId="4" borderId="12" xfId="62" applyFont="1" applyFill="1" applyBorder="1" applyAlignment="1">
      <alignment horizontal="center"/>
      <protection/>
    </xf>
    <xf numFmtId="203" fontId="22" fillId="4" borderId="12" xfId="62" applyNumberFormat="1" applyFill="1" applyBorder="1" applyAlignment="1">
      <alignment horizontal="center"/>
      <protection/>
    </xf>
    <xf numFmtId="0" fontId="22" fillId="4" borderId="12" xfId="62" applyFill="1" applyBorder="1" applyAlignment="1">
      <alignment horizontal="center"/>
      <protection/>
    </xf>
    <xf numFmtId="0" fontId="4" fillId="4" borderId="27" xfId="62" applyFont="1" applyFill="1" applyBorder="1" applyAlignment="1">
      <alignment wrapText="1"/>
      <protection/>
    </xf>
    <xf numFmtId="0" fontId="4" fillId="4" borderId="27" xfId="62" applyFont="1" applyFill="1" applyBorder="1" applyAlignment="1">
      <alignment horizontal="center"/>
      <protection/>
    </xf>
    <xf numFmtId="203" fontId="4" fillId="4" borderId="27" xfId="62" applyNumberFormat="1" applyFont="1" applyFill="1" applyBorder="1" applyAlignment="1">
      <alignment horizontal="center"/>
      <protection/>
    </xf>
    <xf numFmtId="1" fontId="4" fillId="4" borderId="27" xfId="62" applyNumberFormat="1" applyFont="1" applyFill="1" applyBorder="1" applyAlignment="1">
      <alignment horizontal="center"/>
      <protection/>
    </xf>
    <xf numFmtId="0" fontId="4" fillId="0" borderId="34" xfId="62" applyFont="1" applyFill="1" applyBorder="1" applyAlignment="1">
      <alignment horizontal="left" wrapText="1"/>
      <protection/>
    </xf>
    <xf numFmtId="0" fontId="4" fillId="0" borderId="35" xfId="62" applyFont="1" applyFill="1" applyBorder="1" applyAlignment="1">
      <alignment horizontal="center"/>
      <protection/>
    </xf>
    <xf numFmtId="0" fontId="48" fillId="0" borderId="35" xfId="62" applyFont="1" applyFill="1" applyBorder="1" applyAlignment="1">
      <alignment horizontal="center"/>
      <protection/>
    </xf>
    <xf numFmtId="0" fontId="48" fillId="0" borderId="36" xfId="62" applyFont="1" applyFill="1" applyBorder="1" applyAlignment="1">
      <alignment horizontal="center"/>
      <protection/>
    </xf>
    <xf numFmtId="0" fontId="6" fillId="0" borderId="37" xfId="62" applyFont="1" applyFill="1" applyBorder="1" applyAlignment="1">
      <alignment horizontal="left" wrapText="1"/>
      <protection/>
    </xf>
    <xf numFmtId="0" fontId="6" fillId="0" borderId="37" xfId="62" applyFont="1" applyFill="1" applyBorder="1" applyAlignment="1">
      <alignment wrapText="1"/>
      <protection/>
    </xf>
    <xf numFmtId="0" fontId="4" fillId="0" borderId="37" xfId="62" applyFont="1" applyFill="1" applyBorder="1" applyAlignment="1">
      <alignment horizontal="left" wrapText="1"/>
      <protection/>
    </xf>
    <xf numFmtId="3" fontId="51" fillId="0" borderId="38" xfId="62" applyNumberFormat="1" applyFont="1" applyFill="1" applyBorder="1" applyAlignment="1">
      <alignment horizontal="center"/>
      <protection/>
    </xf>
    <xf numFmtId="0" fontId="4" fillId="0" borderId="37" xfId="62" applyFont="1" applyFill="1" applyBorder="1" applyAlignment="1">
      <alignment wrapText="1"/>
      <protection/>
    </xf>
    <xf numFmtId="1" fontId="22" fillId="0" borderId="38" xfId="62" applyNumberFormat="1" applyFill="1" applyBorder="1" applyAlignment="1">
      <alignment horizontal="center"/>
      <protection/>
    </xf>
    <xf numFmtId="0" fontId="4" fillId="0" borderId="39" xfId="62" applyFont="1" applyFill="1" applyBorder="1" applyAlignment="1">
      <alignment wrapText="1"/>
      <protection/>
    </xf>
    <xf numFmtId="0" fontId="22" fillId="0" borderId="40" xfId="62" applyFill="1" applyBorder="1" applyAlignment="1">
      <alignment horizontal="center"/>
      <protection/>
    </xf>
    <xf numFmtId="207" fontId="57" fillId="4" borderId="12" xfId="64" applyNumberFormat="1" applyFont="1" applyFill="1" applyBorder="1" applyAlignment="1">
      <alignment horizontal="center" vertical="center"/>
    </xf>
    <xf numFmtId="0" fontId="4" fillId="0" borderId="41" xfId="62" applyFont="1" applyFill="1" applyBorder="1" applyAlignment="1">
      <alignment horizontal="center"/>
      <protection/>
    </xf>
    <xf numFmtId="0" fontId="4" fillId="0" borderId="11" xfId="62" applyFont="1" applyFill="1" applyBorder="1" applyAlignment="1">
      <alignment horizontal="center"/>
      <protection/>
    </xf>
    <xf numFmtId="0" fontId="4" fillId="0" borderId="42" xfId="62" applyFont="1" applyFill="1" applyBorder="1" applyAlignment="1">
      <alignment horizontal="center"/>
      <protection/>
    </xf>
    <xf numFmtId="203" fontId="4" fillId="0" borderId="34" xfId="62" applyNumberFormat="1" applyFont="1" applyFill="1" applyBorder="1" applyAlignment="1">
      <alignment horizontal="center"/>
      <protection/>
    </xf>
    <xf numFmtId="203" fontId="22" fillId="0" borderId="37" xfId="62" applyNumberFormat="1" applyFill="1" applyBorder="1" applyAlignment="1">
      <alignment horizontal="center"/>
      <protection/>
    </xf>
    <xf numFmtId="203" fontId="22" fillId="0" borderId="39" xfId="62" applyNumberFormat="1" applyFill="1" applyBorder="1" applyAlignment="1">
      <alignment horizontal="center"/>
      <protection/>
    </xf>
    <xf numFmtId="1" fontId="4" fillId="0" borderId="0" xfId="62" applyNumberFormat="1" applyFont="1">
      <alignment/>
      <protection/>
    </xf>
    <xf numFmtId="1" fontId="51" fillId="0" borderId="40" xfId="62" applyNumberFormat="1" applyFont="1" applyFill="1" applyBorder="1" applyAlignment="1">
      <alignment horizontal="center"/>
      <protection/>
    </xf>
    <xf numFmtId="0" fontId="51" fillId="0" borderId="10" xfId="62" applyFont="1" applyFill="1" applyBorder="1" applyAlignment="1">
      <alignment horizontal="right"/>
      <protection/>
    </xf>
    <xf numFmtId="0" fontId="51" fillId="0" borderId="38" xfId="62" applyFont="1" applyFill="1" applyBorder="1" applyAlignment="1">
      <alignment horizontal="right"/>
      <protection/>
    </xf>
    <xf numFmtId="0" fontId="4" fillId="0" borderId="43" xfId="62" applyFont="1" applyFill="1" applyBorder="1" applyAlignment="1">
      <alignment wrapText="1"/>
      <protection/>
    </xf>
    <xf numFmtId="0" fontId="4" fillId="0" borderId="26" xfId="62" applyFont="1" applyFill="1" applyBorder="1" applyAlignment="1">
      <alignment horizontal="center"/>
      <protection/>
    </xf>
    <xf numFmtId="203" fontId="22" fillId="0" borderId="43" xfId="62" applyNumberFormat="1" applyFill="1" applyBorder="1" applyAlignment="1">
      <alignment horizontal="center"/>
      <protection/>
    </xf>
    <xf numFmtId="0" fontId="22" fillId="0" borderId="12" xfId="62" applyFill="1" applyBorder="1" applyAlignment="1">
      <alignment horizontal="center"/>
      <protection/>
    </xf>
    <xf numFmtId="1" fontId="22" fillId="0" borderId="12" xfId="62" applyNumberFormat="1" applyFill="1" applyBorder="1" applyAlignment="1">
      <alignment horizontal="center"/>
      <protection/>
    </xf>
    <xf numFmtId="1" fontId="22" fillId="4" borderId="10" xfId="62" applyNumberFormat="1" applyFill="1" applyBorder="1" applyAlignment="1">
      <alignment horizontal="center"/>
      <protection/>
    </xf>
    <xf numFmtId="3" fontId="22" fillId="0" borderId="0" xfId="62" applyNumberFormat="1">
      <alignment/>
      <protection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75" fillId="0" borderId="10" xfId="0" applyFont="1" applyBorder="1" applyAlignment="1">
      <alignment vertical="center" wrapText="1"/>
    </xf>
    <xf numFmtId="0" fontId="75" fillId="0" borderId="10" xfId="0" applyFont="1" applyBorder="1" applyAlignment="1">
      <alignment horizontal="center" vertical="center" wrapText="1"/>
    </xf>
    <xf numFmtId="0" fontId="75" fillId="0" borderId="10" xfId="0" applyFont="1" applyFill="1" applyBorder="1" applyAlignment="1">
      <alignment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1" fillId="8" borderId="10" xfId="0" applyNumberFormat="1" applyFont="1" applyFill="1" applyBorder="1" applyAlignment="1">
      <alignment horizontal="center" vertical="center" wrapText="1"/>
    </xf>
    <xf numFmtId="169" fontId="1" fillId="0" borderId="10" xfId="0" applyNumberFormat="1" applyFont="1" applyBorder="1" applyAlignment="1">
      <alignment horizontal="center" vertical="center" wrapText="1"/>
    </xf>
    <xf numFmtId="0" fontId="3" fillId="8" borderId="10" xfId="0" applyFont="1" applyFill="1" applyBorder="1" applyAlignment="1">
      <alignment horizontal="center" vertical="center"/>
    </xf>
    <xf numFmtId="169" fontId="1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horizontal="left" vertical="center" wrapText="1"/>
    </xf>
    <xf numFmtId="2" fontId="0" fillId="0" borderId="10" xfId="0" applyNumberForma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left" vertical="center" wrapText="1"/>
    </xf>
    <xf numFmtId="2" fontId="0" fillId="0" borderId="0" xfId="0" applyNumberFormat="1" applyAlignment="1">
      <alignment horizontal="left" wrapText="1"/>
    </xf>
    <xf numFmtId="2" fontId="4" fillId="0" borderId="0" xfId="0" applyNumberFormat="1" applyFont="1" applyAlignment="1">
      <alignment wrapText="1"/>
    </xf>
    <xf numFmtId="2" fontId="42" fillId="0" borderId="0" xfId="0" applyNumberFormat="1" applyFont="1" applyAlignment="1">
      <alignment horizontal="left" wrapText="1"/>
    </xf>
    <xf numFmtId="2" fontId="13" fillId="8" borderId="10" xfId="0" applyNumberFormat="1" applyFont="1" applyFill="1" applyBorder="1" applyAlignment="1">
      <alignment horizontal="left" vertical="center" wrapText="1"/>
    </xf>
    <xf numFmtId="2" fontId="13" fillId="8" borderId="10" xfId="0" applyNumberFormat="1" applyFont="1" applyFill="1" applyBorder="1" applyAlignment="1">
      <alignment horizontal="center" vertical="center" wrapText="1"/>
    </xf>
    <xf numFmtId="3" fontId="13" fillId="8" borderId="10" xfId="0" applyNumberFormat="1" applyFont="1" applyFill="1" applyBorder="1" applyAlignment="1">
      <alignment horizontal="center" vertical="center" wrapText="1"/>
    </xf>
    <xf numFmtId="2" fontId="75" fillId="0" borderId="0" xfId="0" applyNumberFormat="1" applyFont="1" applyAlignment="1">
      <alignment wrapText="1"/>
    </xf>
    <xf numFmtId="1" fontId="13" fillId="8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wrapText="1"/>
    </xf>
    <xf numFmtId="0" fontId="76" fillId="0" borderId="0" xfId="0" applyFont="1" applyAlignment="1">
      <alignment horizontal="left"/>
    </xf>
    <xf numFmtId="0" fontId="76" fillId="0" borderId="0" xfId="0" applyFont="1" applyAlignment="1">
      <alignment/>
    </xf>
    <xf numFmtId="169" fontId="76" fillId="0" borderId="0" xfId="0" applyNumberFormat="1" applyFont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vertical="center" wrapText="1"/>
    </xf>
    <xf numFmtId="0" fontId="20" fillId="0" borderId="10" xfId="0" applyFont="1" applyFill="1" applyBorder="1" applyAlignment="1">
      <alignment horizontal="center" vertical="center"/>
    </xf>
    <xf numFmtId="169" fontId="20" fillId="0" borderId="10" xfId="0" applyNumberFormat="1" applyFont="1" applyFill="1" applyBorder="1" applyAlignment="1">
      <alignment horizontal="center" vertical="center" wrapText="1"/>
    </xf>
    <xf numFmtId="3" fontId="20" fillId="0" borderId="10" xfId="0" applyNumberFormat="1" applyFont="1" applyFill="1" applyBorder="1" applyAlignment="1">
      <alignment horizontal="center" vertical="center" wrapText="1"/>
    </xf>
    <xf numFmtId="0" fontId="22" fillId="24" borderId="0" xfId="62" applyFill="1">
      <alignment/>
      <protection/>
    </xf>
    <xf numFmtId="0" fontId="76" fillId="0" borderId="0" xfId="0" applyFont="1" applyAlignment="1">
      <alignment vertical="center"/>
    </xf>
    <xf numFmtId="4" fontId="76" fillId="0" borderId="0" xfId="0" applyNumberFormat="1" applyFont="1" applyAlignment="1">
      <alignment wrapText="1"/>
    </xf>
    <xf numFmtId="0" fontId="0" fillId="0" borderId="0" xfId="0" applyFont="1" applyFill="1" applyAlignment="1">
      <alignment/>
    </xf>
    <xf numFmtId="3" fontId="0" fillId="0" borderId="0" xfId="0" applyNumberFormat="1" applyFont="1" applyAlignment="1">
      <alignment/>
    </xf>
    <xf numFmtId="0" fontId="76" fillId="0" borderId="0" xfId="0" applyFont="1" applyFill="1" applyAlignment="1">
      <alignment vertical="center"/>
    </xf>
    <xf numFmtId="3" fontId="76" fillId="0" borderId="0" xfId="0" applyNumberFormat="1" applyFont="1" applyAlignment="1">
      <alignment/>
    </xf>
    <xf numFmtId="0" fontId="20" fillId="28" borderId="0" xfId="0" applyFont="1" applyFill="1" applyAlignment="1">
      <alignment/>
    </xf>
    <xf numFmtId="0" fontId="20" fillId="28" borderId="0" xfId="0" applyFont="1" applyFill="1" applyBorder="1" applyAlignment="1">
      <alignment/>
    </xf>
    <xf numFmtId="0" fontId="94" fillId="28" borderId="0" xfId="0" applyFont="1" applyFill="1" applyAlignment="1">
      <alignment/>
    </xf>
    <xf numFmtId="0" fontId="20" fillId="28" borderId="0" xfId="0" applyFont="1" applyFill="1" applyAlignment="1">
      <alignment horizontal="center" vertical="center"/>
    </xf>
    <xf numFmtId="0" fontId="20" fillId="28" borderId="0" xfId="0" applyFont="1" applyFill="1" applyAlignment="1">
      <alignment wrapText="1"/>
    </xf>
    <xf numFmtId="168" fontId="20" fillId="28" borderId="0" xfId="0" applyNumberFormat="1" applyFont="1" applyFill="1" applyAlignment="1">
      <alignment horizontal="center" vertical="center"/>
    </xf>
    <xf numFmtId="169" fontId="20" fillId="28" borderId="0" xfId="0" applyNumberFormat="1" applyFont="1" applyFill="1" applyAlignment="1">
      <alignment wrapText="1"/>
    </xf>
    <xf numFmtId="0" fontId="20" fillId="28" borderId="0" xfId="0" applyFont="1" applyFill="1" applyBorder="1" applyAlignment="1">
      <alignment horizontal="center" vertical="distributed"/>
    </xf>
    <xf numFmtId="0" fontId="90" fillId="28" borderId="0" xfId="0" applyFont="1" applyFill="1" applyBorder="1" applyAlignment="1">
      <alignment horizontal="center" vertical="distributed"/>
    </xf>
    <xf numFmtId="4" fontId="20" fillId="28" borderId="0" xfId="0" applyNumberFormat="1" applyFont="1" applyFill="1" applyAlignment="1">
      <alignment horizontal="center" vertical="center"/>
    </xf>
    <xf numFmtId="0" fontId="90" fillId="28" borderId="10" xfId="0" applyFont="1" applyFill="1" applyBorder="1" applyAlignment="1">
      <alignment horizontal="center" vertical="distributed"/>
    </xf>
    <xf numFmtId="0" fontId="20" fillId="28" borderId="10" xfId="0" applyFont="1" applyFill="1" applyBorder="1" applyAlignment="1">
      <alignment horizontal="center" vertical="distributed"/>
    </xf>
    <xf numFmtId="201" fontId="20" fillId="28" borderId="10" xfId="0" applyNumberFormat="1" applyFont="1" applyFill="1" applyBorder="1" applyAlignment="1">
      <alignment horizontal="center" vertical="distributed"/>
    </xf>
    <xf numFmtId="201" fontId="20" fillId="28" borderId="11" xfId="0" applyNumberFormat="1" applyFont="1" applyFill="1" applyBorder="1" applyAlignment="1">
      <alignment horizontal="center" vertical="distributed"/>
    </xf>
    <xf numFmtId="4" fontId="43" fillId="28" borderId="0" xfId="0" applyNumberFormat="1" applyFont="1" applyFill="1" applyAlignment="1">
      <alignment/>
    </xf>
    <xf numFmtId="4" fontId="20" fillId="28" borderId="0" xfId="0" applyNumberFormat="1" applyFont="1" applyFill="1" applyAlignment="1">
      <alignment/>
    </xf>
    <xf numFmtId="169" fontId="20" fillId="28" borderId="0" xfId="0" applyNumberFormat="1" applyFont="1" applyFill="1" applyAlignment="1">
      <alignment/>
    </xf>
    <xf numFmtId="3" fontId="20" fillId="28" borderId="10" xfId="0" applyNumberFormat="1" applyFont="1" applyFill="1" applyBorder="1" applyAlignment="1">
      <alignment horizontal="center" vertical="center" wrapText="1"/>
    </xf>
    <xf numFmtId="169" fontId="43" fillId="28" borderId="0" xfId="0" applyNumberFormat="1" applyFont="1" applyFill="1" applyAlignment="1">
      <alignment/>
    </xf>
    <xf numFmtId="3" fontId="20" fillId="28" borderId="10" xfId="0" applyNumberFormat="1" applyFont="1" applyFill="1" applyBorder="1" applyAlignment="1">
      <alignment horizontal="center" vertical="distributed" wrapText="1"/>
    </xf>
    <xf numFmtId="0" fontId="7" fillId="28" borderId="10" xfId="62" applyFont="1" applyFill="1" applyBorder="1" applyAlignment="1">
      <alignment horizontal="center" vertical="distributed"/>
      <protection/>
    </xf>
    <xf numFmtId="0" fontId="20" fillId="28" borderId="10" xfId="62" applyFont="1" applyFill="1" applyBorder="1" applyAlignment="1">
      <alignment horizontal="center" vertical="distributed"/>
      <protection/>
    </xf>
    <xf numFmtId="2" fontId="91" fillId="28" borderId="10" xfId="62" applyNumberFormat="1" applyFont="1" applyFill="1" applyBorder="1" applyAlignment="1">
      <alignment horizontal="center" vertical="distributed"/>
      <protection/>
    </xf>
    <xf numFmtId="0" fontId="22" fillId="28" borderId="0" xfId="62" applyFill="1">
      <alignment/>
      <protection/>
    </xf>
    <xf numFmtId="3" fontId="20" fillId="28" borderId="10" xfId="0" applyNumberFormat="1" applyFont="1" applyFill="1" applyBorder="1" applyAlignment="1">
      <alignment horizontal="center" vertical="distributed"/>
    </xf>
    <xf numFmtId="0" fontId="80" fillId="28" borderId="0" xfId="0" applyFont="1" applyFill="1" applyAlignment="1">
      <alignment/>
    </xf>
    <xf numFmtId="0" fontId="81" fillId="28" borderId="0" xfId="0" applyFont="1" applyFill="1" applyAlignment="1">
      <alignment/>
    </xf>
    <xf numFmtId="0" fontId="82" fillId="28" borderId="0" xfId="0" applyFont="1" applyFill="1" applyAlignment="1">
      <alignment/>
    </xf>
    <xf numFmtId="0" fontId="79" fillId="28" borderId="0" xfId="0" applyFont="1" applyFill="1" applyAlignment="1">
      <alignment/>
    </xf>
    <xf numFmtId="169" fontId="20" fillId="28" borderId="10" xfId="0" applyNumberFormat="1" applyFont="1" applyFill="1" applyBorder="1" applyAlignment="1">
      <alignment horizontal="center" vertical="distributed" wrapText="1"/>
    </xf>
    <xf numFmtId="171" fontId="20" fillId="28" borderId="0" xfId="0" applyNumberFormat="1" applyFont="1" applyFill="1" applyAlignment="1">
      <alignment horizontal="center" vertical="center"/>
    </xf>
    <xf numFmtId="169" fontId="20" fillId="28" borderId="0" xfId="0" applyNumberFormat="1" applyFont="1" applyFill="1" applyBorder="1" applyAlignment="1">
      <alignment/>
    </xf>
    <xf numFmtId="169" fontId="20" fillId="28" borderId="0" xfId="0" applyNumberFormat="1" applyFont="1" applyFill="1" applyBorder="1" applyAlignment="1">
      <alignment horizontal="center" vertical="center" wrapText="1"/>
    </xf>
    <xf numFmtId="0" fontId="1" fillId="28" borderId="10" xfId="0" applyFont="1" applyFill="1" applyBorder="1" applyAlignment="1">
      <alignment horizontal="center" vertical="distributed"/>
    </xf>
    <xf numFmtId="0" fontId="1" fillId="28" borderId="0" xfId="0" applyFont="1" applyFill="1" applyAlignment="1">
      <alignment/>
    </xf>
    <xf numFmtId="0" fontId="83" fillId="28" borderId="0" xfId="0" applyFont="1" applyFill="1" applyAlignment="1">
      <alignment/>
    </xf>
    <xf numFmtId="0" fontId="84" fillId="28" borderId="0" xfId="0" applyFont="1" applyFill="1" applyAlignment="1">
      <alignment/>
    </xf>
    <xf numFmtId="0" fontId="85" fillId="28" borderId="0" xfId="0" applyFont="1" applyFill="1" applyAlignment="1">
      <alignment/>
    </xf>
    <xf numFmtId="0" fontId="86" fillId="28" borderId="0" xfId="0" applyFont="1" applyFill="1" applyAlignment="1">
      <alignment/>
    </xf>
    <xf numFmtId="1" fontId="20" fillId="28" borderId="10" xfId="0" applyNumberFormat="1" applyFont="1" applyFill="1" applyBorder="1" applyAlignment="1">
      <alignment horizontal="center" vertical="distributed" wrapText="1"/>
    </xf>
    <xf numFmtId="1" fontId="20" fillId="28" borderId="10" xfId="0" applyNumberFormat="1" applyFont="1" applyFill="1" applyBorder="1" applyAlignment="1">
      <alignment horizontal="center" vertical="center" wrapText="1"/>
    </xf>
    <xf numFmtId="3" fontId="20" fillId="28" borderId="27" xfId="0" applyNumberFormat="1" applyFont="1" applyFill="1" applyBorder="1" applyAlignment="1">
      <alignment horizontal="center" vertical="distributed" wrapText="1"/>
    </xf>
    <xf numFmtId="169" fontId="20" fillId="28" borderId="0" xfId="0" applyNumberFormat="1" applyFont="1" applyFill="1" applyBorder="1" applyAlignment="1">
      <alignment horizontal="center" vertical="center"/>
    </xf>
    <xf numFmtId="0" fontId="20" fillId="28" borderId="0" xfId="0" applyFont="1" applyFill="1" applyBorder="1" applyAlignment="1">
      <alignment horizontal="center" vertical="center"/>
    </xf>
    <xf numFmtId="0" fontId="20" fillId="28" borderId="0" xfId="0" applyFont="1" applyFill="1" applyBorder="1" applyAlignment="1">
      <alignment horizontal="center" vertical="center" wrapText="1"/>
    </xf>
    <xf numFmtId="2" fontId="20" fillId="28" borderId="0" xfId="0" applyNumberFormat="1" applyFont="1" applyFill="1" applyBorder="1" applyAlignment="1">
      <alignment horizontal="center" vertical="center"/>
    </xf>
    <xf numFmtId="3" fontId="20" fillId="28" borderId="0" xfId="0" applyNumberFormat="1" applyFont="1" applyFill="1" applyBorder="1" applyAlignment="1">
      <alignment horizontal="center" vertical="center" wrapText="1"/>
    </xf>
    <xf numFmtId="0" fontId="20" fillId="28" borderId="0" xfId="0" applyFont="1" applyFill="1" applyBorder="1" applyAlignment="1">
      <alignment horizontal="left" vertical="center" wrapText="1"/>
    </xf>
    <xf numFmtId="0" fontId="20" fillId="28" borderId="11" xfId="0" applyFont="1" applyFill="1" applyBorder="1" applyAlignment="1">
      <alignment horizontal="center" vertical="distributed"/>
    </xf>
    <xf numFmtId="0" fontId="95" fillId="28" borderId="0" xfId="0" applyFont="1" applyFill="1" applyAlignment="1">
      <alignment/>
    </xf>
    <xf numFmtId="0" fontId="93" fillId="28" borderId="0" xfId="0" applyFont="1" applyFill="1" applyAlignment="1">
      <alignment horizontal="right"/>
    </xf>
    <xf numFmtId="0" fontId="90" fillId="29" borderId="10" xfId="0" applyFont="1" applyFill="1" applyBorder="1" applyAlignment="1">
      <alignment horizontal="center" vertical="distributed"/>
    </xf>
    <xf numFmtId="0" fontId="20" fillId="29" borderId="0" xfId="0" applyFont="1" applyFill="1" applyAlignment="1">
      <alignment/>
    </xf>
    <xf numFmtId="0" fontId="20" fillId="29" borderId="10" xfId="0" applyFont="1" applyFill="1" applyBorder="1" applyAlignment="1">
      <alignment horizontal="center" vertical="distributed"/>
    </xf>
    <xf numFmtId="201" fontId="20" fillId="29" borderId="10" xfId="0" applyNumberFormat="1" applyFont="1" applyFill="1" applyBorder="1" applyAlignment="1">
      <alignment horizontal="center" vertical="distributed"/>
    </xf>
    <xf numFmtId="201" fontId="20" fillId="29" borderId="11" xfId="0" applyNumberFormat="1" applyFont="1" applyFill="1" applyBorder="1" applyAlignment="1">
      <alignment horizontal="center" vertical="distributed"/>
    </xf>
    <xf numFmtId="169" fontId="20" fillId="29" borderId="0" xfId="0" applyNumberFormat="1" applyFont="1" applyFill="1" applyAlignment="1">
      <alignment/>
    </xf>
    <xf numFmtId="0" fontId="20" fillId="29" borderId="10" xfId="0" applyNumberFormat="1" applyFont="1" applyFill="1" applyBorder="1" applyAlignment="1">
      <alignment horizontal="center" vertical="center"/>
    </xf>
    <xf numFmtId="3" fontId="20" fillId="29" borderId="10" xfId="0" applyNumberFormat="1" applyFont="1" applyFill="1" applyBorder="1" applyAlignment="1">
      <alignment horizontal="center" vertical="center" wrapText="1"/>
    </xf>
    <xf numFmtId="170" fontId="20" fillId="29" borderId="10" xfId="0" applyNumberFormat="1" applyFont="1" applyFill="1" applyBorder="1" applyAlignment="1">
      <alignment horizontal="center" vertical="center" wrapText="1"/>
    </xf>
    <xf numFmtId="169" fontId="43" fillId="29" borderId="0" xfId="0" applyNumberFormat="1" applyFont="1" applyFill="1" applyAlignment="1">
      <alignment/>
    </xf>
    <xf numFmtId="3" fontId="43" fillId="29" borderId="10" xfId="0" applyNumberFormat="1" applyFont="1" applyFill="1" applyBorder="1" applyAlignment="1">
      <alignment horizontal="center" vertical="center" wrapText="1"/>
    </xf>
    <xf numFmtId="2" fontId="91" fillId="29" borderId="10" xfId="62" applyNumberFormat="1" applyFont="1" applyFill="1" applyBorder="1" applyAlignment="1">
      <alignment horizontal="center" vertical="distributed"/>
      <protection/>
    </xf>
    <xf numFmtId="0" fontId="80" fillId="29" borderId="0" xfId="0" applyFont="1" applyFill="1" applyAlignment="1">
      <alignment/>
    </xf>
    <xf numFmtId="0" fontId="81" fillId="29" borderId="0" xfId="0" applyFont="1" applyFill="1" applyAlignment="1">
      <alignment/>
    </xf>
    <xf numFmtId="0" fontId="82" fillId="29" borderId="0" xfId="0" applyFont="1" applyFill="1" applyAlignment="1">
      <alignment/>
    </xf>
    <xf numFmtId="0" fontId="20" fillId="0" borderId="10" xfId="0" applyFont="1" applyFill="1" applyBorder="1" applyAlignment="1">
      <alignment horizontal="center" vertical="top"/>
    </xf>
    <xf numFmtId="1" fontId="20" fillId="0" borderId="10" xfId="0" applyNumberFormat="1" applyFont="1" applyFill="1" applyBorder="1" applyAlignment="1">
      <alignment horizontal="center" vertical="center"/>
    </xf>
    <xf numFmtId="169" fontId="20" fillId="0" borderId="10" xfId="0" applyNumberFormat="1" applyFont="1" applyFill="1" applyBorder="1" applyAlignment="1">
      <alignment horizontal="center" vertical="center"/>
    </xf>
    <xf numFmtId="169" fontId="20" fillId="0" borderId="10" xfId="62" applyNumberFormat="1" applyFont="1" applyFill="1" applyBorder="1" applyAlignment="1">
      <alignment horizontal="center" vertical="center"/>
      <protection/>
    </xf>
    <xf numFmtId="169" fontId="20" fillId="0" borderId="10" xfId="62" applyNumberFormat="1" applyFont="1" applyFill="1" applyBorder="1" applyAlignment="1">
      <alignment horizontal="center" vertical="center" wrapText="1"/>
      <protection/>
    </xf>
    <xf numFmtId="0" fontId="20" fillId="0" borderId="0" xfId="0" applyFont="1" applyFill="1" applyAlignment="1">
      <alignment horizontal="center" vertical="center"/>
    </xf>
    <xf numFmtId="2" fontId="20" fillId="0" borderId="10" xfId="0" applyNumberFormat="1" applyFont="1" applyFill="1" applyBorder="1" applyAlignment="1">
      <alignment horizontal="center" vertical="center" wrapText="1"/>
    </xf>
    <xf numFmtId="170" fontId="20" fillId="0" borderId="10" xfId="0" applyNumberFormat="1" applyFont="1" applyFill="1" applyBorder="1" applyAlignment="1">
      <alignment horizontal="center" vertical="center" wrapText="1"/>
    </xf>
    <xf numFmtId="4" fontId="20" fillId="0" borderId="10" xfId="0" applyNumberFormat="1" applyFont="1" applyFill="1" applyBorder="1" applyAlignment="1">
      <alignment horizontal="center" vertical="center"/>
    </xf>
    <xf numFmtId="4" fontId="20" fillId="0" borderId="10" xfId="0" applyNumberFormat="1" applyFont="1" applyFill="1" applyBorder="1" applyAlignment="1">
      <alignment horizontal="center" vertical="center" wrapText="1"/>
    </xf>
    <xf numFmtId="171" fontId="20" fillId="0" borderId="10" xfId="0" applyNumberFormat="1" applyFont="1" applyFill="1" applyBorder="1" applyAlignment="1">
      <alignment horizontal="center" vertical="center" wrapText="1"/>
    </xf>
    <xf numFmtId="171" fontId="20" fillId="0" borderId="10" xfId="0" applyNumberFormat="1" applyFont="1" applyFill="1" applyBorder="1" applyAlignment="1">
      <alignment horizontal="center" vertical="center"/>
    </xf>
    <xf numFmtId="1" fontId="20" fillId="0" borderId="10" xfId="0" applyNumberFormat="1" applyFont="1" applyFill="1" applyBorder="1" applyAlignment="1">
      <alignment horizontal="center" vertical="center" wrapText="1"/>
    </xf>
    <xf numFmtId="170" fontId="20" fillId="0" borderId="10" xfId="0" applyNumberFormat="1" applyFont="1" applyFill="1" applyBorder="1" applyAlignment="1">
      <alignment horizontal="center" vertical="center"/>
    </xf>
    <xf numFmtId="169" fontId="20" fillId="0" borderId="12" xfId="0" applyNumberFormat="1" applyFont="1" applyFill="1" applyBorder="1" applyAlignment="1">
      <alignment horizontal="center" vertical="center"/>
    </xf>
    <xf numFmtId="169" fontId="20" fillId="0" borderId="13" xfId="0" applyNumberFormat="1" applyFont="1" applyFill="1" applyBorder="1" applyAlignment="1">
      <alignment horizontal="center" vertical="center"/>
    </xf>
    <xf numFmtId="169" fontId="20" fillId="0" borderId="27" xfId="0" applyNumberFormat="1" applyFont="1" applyFill="1" applyBorder="1" applyAlignment="1">
      <alignment horizontal="center" vertical="center"/>
    </xf>
    <xf numFmtId="184" fontId="20" fillId="0" borderId="10" xfId="0" applyNumberFormat="1" applyFont="1" applyFill="1" applyBorder="1" applyAlignment="1">
      <alignment horizontal="center" vertical="center"/>
    </xf>
    <xf numFmtId="168" fontId="20" fillId="0" borderId="10" xfId="0" applyNumberFormat="1" applyFont="1" applyFill="1" applyBorder="1" applyAlignment="1">
      <alignment horizontal="center" vertical="center"/>
    </xf>
    <xf numFmtId="179" fontId="20" fillId="0" borderId="10" xfId="0" applyNumberFormat="1" applyFont="1" applyFill="1" applyBorder="1" applyAlignment="1">
      <alignment horizontal="center" vertical="center"/>
    </xf>
    <xf numFmtId="168" fontId="20" fillId="0" borderId="12" xfId="0" applyNumberFormat="1" applyFont="1" applyFill="1" applyBorder="1" applyAlignment="1">
      <alignment horizontal="center" vertical="center"/>
    </xf>
    <xf numFmtId="3" fontId="20" fillId="0" borderId="27" xfId="0" applyNumberFormat="1" applyFont="1" applyFill="1" applyBorder="1" applyAlignment="1">
      <alignment horizontal="center" vertical="center" wrapText="1"/>
    </xf>
    <xf numFmtId="169" fontId="20" fillId="0" borderId="13" xfId="0" applyNumberFormat="1" applyFont="1" applyFill="1" applyBorder="1" applyAlignment="1">
      <alignment horizontal="center" vertical="center" wrapText="1"/>
    </xf>
    <xf numFmtId="169" fontId="20" fillId="0" borderId="27" xfId="0" applyNumberFormat="1" applyFont="1" applyFill="1" applyBorder="1" applyAlignment="1">
      <alignment horizontal="center" vertical="center" wrapText="1"/>
    </xf>
    <xf numFmtId="44" fontId="20" fillId="0" borderId="27" xfId="43" applyFont="1" applyFill="1" applyBorder="1" applyAlignment="1">
      <alignment horizontal="center" vertical="center" wrapText="1"/>
    </xf>
    <xf numFmtId="169" fontId="20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171" fontId="20" fillId="29" borderId="10" xfId="0" applyNumberFormat="1" applyFont="1" applyFill="1" applyBorder="1" applyAlignment="1">
      <alignment horizontal="center" vertical="center" wrapText="1"/>
    </xf>
    <xf numFmtId="4" fontId="20" fillId="29" borderId="10" xfId="0" applyNumberFormat="1" applyFont="1" applyFill="1" applyBorder="1" applyAlignment="1">
      <alignment horizontal="center" vertical="center" wrapText="1"/>
    </xf>
    <xf numFmtId="0" fontId="88" fillId="29" borderId="10" xfId="0" applyFont="1" applyFill="1" applyBorder="1" applyAlignment="1">
      <alignment horizontal="center" vertical="distributed" wrapText="1"/>
    </xf>
    <xf numFmtId="0" fontId="90" fillId="29" borderId="10" xfId="0" applyFont="1" applyFill="1" applyBorder="1" applyAlignment="1">
      <alignment horizontal="center" vertical="distributed" wrapText="1"/>
    </xf>
    <xf numFmtId="0" fontId="88" fillId="29" borderId="10" xfId="0" applyFont="1" applyFill="1" applyBorder="1" applyAlignment="1">
      <alignment horizontal="center" vertical="distributed"/>
    </xf>
    <xf numFmtId="0" fontId="88" fillId="29" borderId="11" xfId="0" applyFont="1" applyFill="1" applyBorder="1" applyAlignment="1">
      <alignment horizontal="center" vertical="distributed"/>
    </xf>
    <xf numFmtId="9" fontId="89" fillId="29" borderId="10" xfId="0" applyNumberFormat="1" applyFont="1" applyFill="1" applyBorder="1" applyAlignment="1">
      <alignment horizontal="center" vertical="distributed"/>
    </xf>
    <xf numFmtId="0" fontId="89" fillId="29" borderId="10" xfId="0" applyFont="1" applyFill="1" applyBorder="1" applyAlignment="1">
      <alignment horizontal="center" vertical="center" wrapText="1"/>
    </xf>
    <xf numFmtId="169" fontId="20" fillId="29" borderId="10" xfId="53" applyNumberFormat="1" applyFont="1" applyFill="1" applyBorder="1" applyAlignment="1">
      <alignment horizontal="center" vertical="center"/>
      <protection/>
    </xf>
    <xf numFmtId="169" fontId="20" fillId="29" borderId="27" xfId="53" applyNumberFormat="1" applyFont="1" applyFill="1" applyBorder="1" applyAlignment="1">
      <alignment horizontal="center" vertical="center"/>
      <protection/>
    </xf>
    <xf numFmtId="0" fontId="20" fillId="29" borderId="0" xfId="53" applyFont="1" applyFill="1" applyBorder="1" applyAlignment="1">
      <alignment horizontal="center" vertical="distributed"/>
      <protection/>
    </xf>
    <xf numFmtId="3" fontId="20" fillId="29" borderId="0" xfId="53" applyNumberFormat="1" applyFont="1" applyFill="1" applyBorder="1" applyAlignment="1">
      <alignment horizontal="center" vertical="distributed" wrapText="1"/>
      <protection/>
    </xf>
    <xf numFmtId="201" fontId="20" fillId="29" borderId="0" xfId="53" applyNumberFormat="1" applyFont="1" applyFill="1" applyBorder="1" applyAlignment="1">
      <alignment horizontal="center" vertical="distributed"/>
      <protection/>
    </xf>
    <xf numFmtId="2" fontId="91" fillId="29" borderId="0" xfId="62" applyNumberFormat="1" applyFont="1" applyFill="1" applyBorder="1" applyAlignment="1">
      <alignment horizontal="center" vertical="distributed"/>
      <protection/>
    </xf>
    <xf numFmtId="0" fontId="20" fillId="29" borderId="0" xfId="53" applyFont="1" applyFill="1">
      <alignment/>
      <protection/>
    </xf>
    <xf numFmtId="169" fontId="20" fillId="29" borderId="0" xfId="53" applyNumberFormat="1" applyFont="1" applyFill="1" applyBorder="1" applyAlignment="1">
      <alignment horizontal="center" vertical="center"/>
      <protection/>
    </xf>
    <xf numFmtId="169" fontId="43" fillId="29" borderId="10" xfId="0" applyNumberFormat="1" applyFont="1" applyFill="1" applyBorder="1" applyAlignment="1">
      <alignment horizontal="center" vertical="center" wrapText="1"/>
    </xf>
    <xf numFmtId="4" fontId="43" fillId="29" borderId="0" xfId="0" applyNumberFormat="1" applyFont="1" applyFill="1" applyAlignment="1">
      <alignment/>
    </xf>
    <xf numFmtId="4" fontId="20" fillId="29" borderId="0" xfId="0" applyNumberFormat="1" applyFont="1" applyFill="1" applyAlignment="1">
      <alignment/>
    </xf>
    <xf numFmtId="4" fontId="92" fillId="29" borderId="0" xfId="0" applyNumberFormat="1" applyFont="1" applyFill="1" applyAlignment="1">
      <alignment/>
    </xf>
    <xf numFmtId="4" fontId="43" fillId="29" borderId="10" xfId="0" applyNumberFormat="1" applyFont="1" applyFill="1" applyBorder="1" applyAlignment="1">
      <alignment horizontal="center" vertical="center" wrapText="1"/>
    </xf>
    <xf numFmtId="0" fontId="43" fillId="29" borderId="0" xfId="0" applyFont="1" applyFill="1" applyAlignment="1">
      <alignment/>
    </xf>
    <xf numFmtId="0" fontId="20" fillId="29" borderId="10" xfId="0" applyFont="1" applyFill="1" applyBorder="1" applyAlignment="1">
      <alignment horizontal="center" vertical="center"/>
    </xf>
    <xf numFmtId="0" fontId="43" fillId="29" borderId="10" xfId="0" applyFont="1" applyFill="1" applyBorder="1" applyAlignment="1">
      <alignment horizontal="center" vertical="center" wrapText="1"/>
    </xf>
    <xf numFmtId="3" fontId="43" fillId="29" borderId="10" xfId="0" applyNumberFormat="1" applyFont="1" applyFill="1" applyBorder="1" applyAlignment="1">
      <alignment horizontal="center" vertical="center" wrapText="1"/>
    </xf>
    <xf numFmtId="169" fontId="20" fillId="29" borderId="10" xfId="0" applyNumberFormat="1" applyFont="1" applyFill="1" applyBorder="1" applyAlignment="1">
      <alignment horizontal="center" vertical="center" wrapText="1"/>
    </xf>
    <xf numFmtId="169" fontId="20" fillId="29" borderId="10" xfId="0" applyNumberFormat="1" applyFont="1" applyFill="1" applyBorder="1" applyAlignment="1">
      <alignment horizontal="center" vertical="center" wrapText="1"/>
    </xf>
    <xf numFmtId="0" fontId="43" fillId="29" borderId="15" xfId="0" applyFont="1" applyFill="1" applyBorder="1" applyAlignment="1">
      <alignment horizontal="center" vertical="center" wrapText="1"/>
    </xf>
    <xf numFmtId="179" fontId="20" fillId="0" borderId="10" xfId="0" applyNumberFormat="1" applyFont="1" applyFill="1" applyBorder="1" applyAlignment="1">
      <alignment horizontal="center" vertical="center" wrapText="1"/>
    </xf>
    <xf numFmtId="2" fontId="43" fillId="29" borderId="10" xfId="0" applyNumberFormat="1" applyFont="1" applyFill="1" applyBorder="1" applyAlignment="1">
      <alignment horizontal="center" vertical="center" wrapText="1"/>
    </xf>
    <xf numFmtId="2" fontId="20" fillId="29" borderId="10" xfId="0" applyNumberFormat="1" applyFont="1" applyFill="1" applyBorder="1" applyAlignment="1">
      <alignment horizontal="center" vertical="distributed"/>
    </xf>
    <xf numFmtId="2" fontId="20" fillId="29" borderId="11" xfId="0" applyNumberFormat="1" applyFont="1" applyFill="1" applyBorder="1" applyAlignment="1">
      <alignment horizontal="center" vertical="distributed"/>
    </xf>
    <xf numFmtId="2" fontId="90" fillId="29" borderId="10" xfId="0" applyNumberFormat="1" applyFont="1" applyFill="1" applyBorder="1" applyAlignment="1">
      <alignment horizontal="center" vertical="distributed"/>
    </xf>
    <xf numFmtId="2" fontId="20" fillId="29" borderId="0" xfId="0" applyNumberFormat="1" applyFont="1" applyFill="1" applyAlignment="1">
      <alignment/>
    </xf>
    <xf numFmtId="2" fontId="43" fillId="29" borderId="0" xfId="0" applyNumberFormat="1" applyFont="1" applyFill="1" applyAlignment="1">
      <alignment/>
    </xf>
    <xf numFmtId="2" fontId="92" fillId="29" borderId="0" xfId="0" applyNumberFormat="1" applyFont="1" applyFill="1" applyAlignment="1">
      <alignment/>
    </xf>
    <xf numFmtId="0" fontId="43" fillId="29" borderId="15" xfId="0" applyFont="1" applyFill="1" applyBorder="1" applyAlignment="1">
      <alignment horizontal="center" vertical="center"/>
    </xf>
    <xf numFmtId="2" fontId="43" fillId="29" borderId="15" xfId="0" applyNumberFormat="1" applyFont="1" applyFill="1" applyBorder="1" applyAlignment="1">
      <alignment horizontal="center" vertical="center" wrapText="1"/>
    </xf>
    <xf numFmtId="0" fontId="20" fillId="0" borderId="10" xfId="0" applyNumberFormat="1" applyFont="1" applyFill="1" applyBorder="1" applyAlignment="1">
      <alignment horizontal="center" vertical="center"/>
    </xf>
    <xf numFmtId="0" fontId="20" fillId="30" borderId="10" xfId="0" applyFont="1" applyFill="1" applyBorder="1" applyAlignment="1">
      <alignment horizontal="center" vertical="center" wrapText="1"/>
    </xf>
    <xf numFmtId="169" fontId="20" fillId="30" borderId="10" xfId="0" applyNumberFormat="1" applyFont="1" applyFill="1" applyBorder="1" applyAlignment="1">
      <alignment horizontal="center" vertical="center"/>
    </xf>
    <xf numFmtId="169" fontId="20" fillId="30" borderId="10" xfId="0" applyNumberFormat="1" applyFont="1" applyFill="1" applyBorder="1" applyAlignment="1">
      <alignment horizontal="center" vertical="center" wrapText="1"/>
    </xf>
    <xf numFmtId="2" fontId="20" fillId="30" borderId="10" xfId="0" applyNumberFormat="1" applyFont="1" applyFill="1" applyBorder="1" applyAlignment="1">
      <alignment horizontal="center" vertical="center" wrapText="1"/>
    </xf>
    <xf numFmtId="3" fontId="20" fillId="30" borderId="10" xfId="0" applyNumberFormat="1" applyFont="1" applyFill="1" applyBorder="1" applyAlignment="1">
      <alignment horizontal="center" vertical="center" wrapText="1"/>
    </xf>
    <xf numFmtId="0" fontId="20" fillId="30" borderId="10" xfId="0" applyFont="1" applyFill="1" applyBorder="1" applyAlignment="1">
      <alignment horizontal="center" vertical="distributed"/>
    </xf>
    <xf numFmtId="3" fontId="20" fillId="30" borderId="10" xfId="0" applyNumberFormat="1" applyFont="1" applyFill="1" applyBorder="1" applyAlignment="1">
      <alignment horizontal="center" vertical="distributed" wrapText="1"/>
    </xf>
    <xf numFmtId="0" fontId="20" fillId="30" borderId="10" xfId="62" applyFont="1" applyFill="1" applyBorder="1" applyAlignment="1">
      <alignment horizontal="center" vertical="distributed"/>
      <protection/>
    </xf>
    <xf numFmtId="201" fontId="20" fillId="30" borderId="10" xfId="0" applyNumberFormat="1" applyFont="1" applyFill="1" applyBorder="1" applyAlignment="1">
      <alignment horizontal="center" vertical="distributed"/>
    </xf>
    <xf numFmtId="201" fontId="20" fillId="30" borderId="11" xfId="0" applyNumberFormat="1" applyFont="1" applyFill="1" applyBorder="1" applyAlignment="1">
      <alignment horizontal="center" vertical="distributed"/>
    </xf>
    <xf numFmtId="2" fontId="91" fillId="30" borderId="10" xfId="62" applyNumberFormat="1" applyFont="1" applyFill="1" applyBorder="1" applyAlignment="1">
      <alignment horizontal="center" vertical="distributed"/>
      <protection/>
    </xf>
    <xf numFmtId="0" fontId="20" fillId="30" borderId="0" xfId="0" applyFont="1" applyFill="1" applyAlignment="1">
      <alignment/>
    </xf>
    <xf numFmtId="170" fontId="20" fillId="30" borderId="10" xfId="0" applyNumberFormat="1" applyFont="1" applyFill="1" applyBorder="1" applyAlignment="1">
      <alignment horizontal="center" vertical="center" wrapText="1"/>
    </xf>
    <xf numFmtId="171" fontId="20" fillId="30" borderId="10" xfId="0" applyNumberFormat="1" applyFont="1" applyFill="1" applyBorder="1" applyAlignment="1">
      <alignment horizontal="center" vertical="center" wrapText="1"/>
    </xf>
    <xf numFmtId="0" fontId="20" fillId="30" borderId="10" xfId="0" applyFont="1" applyFill="1" applyBorder="1" applyAlignment="1">
      <alignment horizontal="center" vertical="center"/>
    </xf>
    <xf numFmtId="171" fontId="20" fillId="29" borderId="10" xfId="53" applyNumberFormat="1" applyFont="1" applyFill="1" applyBorder="1" applyAlignment="1">
      <alignment horizontal="center" vertical="center"/>
      <protection/>
    </xf>
    <xf numFmtId="171" fontId="43" fillId="29" borderId="10" xfId="0" applyNumberFormat="1" applyFont="1" applyFill="1" applyBorder="1" applyAlignment="1">
      <alignment horizontal="center" vertical="center" wrapText="1"/>
    </xf>
    <xf numFmtId="171" fontId="20" fillId="30" borderId="10" xfId="0" applyNumberFormat="1" applyFont="1" applyFill="1" applyBorder="1" applyAlignment="1">
      <alignment horizontal="center" vertical="center"/>
    </xf>
    <xf numFmtId="171" fontId="20" fillId="0" borderId="0" xfId="0" applyNumberFormat="1" applyFont="1" applyFill="1" applyAlignment="1">
      <alignment horizontal="center" vertical="center"/>
    </xf>
    <xf numFmtId="171" fontId="20" fillId="28" borderId="0" xfId="0" applyNumberFormat="1" applyFont="1" applyFill="1" applyBorder="1" applyAlignment="1">
      <alignment horizontal="center" vertical="center"/>
    </xf>
    <xf numFmtId="171" fontId="20" fillId="28" borderId="0" xfId="0" applyNumberFormat="1" applyFont="1" applyFill="1" applyBorder="1" applyAlignment="1">
      <alignment horizontal="left" vertical="center" wrapText="1"/>
    </xf>
    <xf numFmtId="170" fontId="20" fillId="30" borderId="10" xfId="0" applyNumberFormat="1" applyFont="1" applyFill="1" applyBorder="1" applyAlignment="1">
      <alignment horizontal="center" vertical="center"/>
    </xf>
    <xf numFmtId="0" fontId="20" fillId="30" borderId="10" xfId="0" applyFont="1" applyFill="1" applyBorder="1" applyAlignment="1">
      <alignment horizontal="center" vertical="top"/>
    </xf>
    <xf numFmtId="4" fontId="20" fillId="30" borderId="10" xfId="0" applyNumberFormat="1" applyFont="1" applyFill="1" applyBorder="1" applyAlignment="1">
      <alignment horizontal="center" vertical="center" wrapText="1"/>
    </xf>
    <xf numFmtId="3" fontId="43" fillId="30" borderId="10" xfId="0" applyNumberFormat="1" applyFont="1" applyFill="1" applyBorder="1" applyAlignment="1">
      <alignment horizontal="center" vertical="center" wrapText="1"/>
    </xf>
    <xf numFmtId="168" fontId="20" fillId="30" borderId="10" xfId="0" applyNumberFormat="1" applyFont="1" applyFill="1" applyBorder="1" applyAlignment="1">
      <alignment horizontal="center" vertical="center"/>
    </xf>
    <xf numFmtId="1" fontId="20" fillId="30" borderId="10" xfId="0" applyNumberFormat="1" applyFont="1" applyFill="1" applyBorder="1" applyAlignment="1">
      <alignment horizontal="center" vertical="distributed" wrapText="1"/>
    </xf>
    <xf numFmtId="4" fontId="20" fillId="30" borderId="10" xfId="0" applyNumberFormat="1" applyFont="1" applyFill="1" applyBorder="1" applyAlignment="1">
      <alignment horizontal="center" vertical="center"/>
    </xf>
    <xf numFmtId="179" fontId="20" fillId="30" borderId="10" xfId="0" applyNumberFormat="1" applyFont="1" applyFill="1" applyBorder="1" applyAlignment="1">
      <alignment horizontal="center" vertical="center" wrapText="1"/>
    </xf>
    <xf numFmtId="169" fontId="20" fillId="30" borderId="27" xfId="0" applyNumberFormat="1" applyFont="1" applyFill="1" applyBorder="1" applyAlignment="1">
      <alignment horizontal="center" vertical="center"/>
    </xf>
    <xf numFmtId="3" fontId="20" fillId="30" borderId="27" xfId="0" applyNumberFormat="1" applyFont="1" applyFill="1" applyBorder="1" applyAlignment="1">
      <alignment horizontal="center" vertical="distributed" wrapText="1"/>
    </xf>
    <xf numFmtId="0" fontId="80" fillId="30" borderId="0" xfId="0" applyFont="1" applyFill="1" applyAlignment="1">
      <alignment/>
    </xf>
    <xf numFmtId="0" fontId="81" fillId="30" borderId="0" xfId="0" applyFont="1" applyFill="1" applyAlignment="1">
      <alignment/>
    </xf>
    <xf numFmtId="0" fontId="82" fillId="30" borderId="0" xfId="0" applyFont="1" applyFill="1" applyAlignment="1">
      <alignment/>
    </xf>
    <xf numFmtId="179" fontId="20" fillId="30" borderId="10" xfId="0" applyNumberFormat="1" applyFont="1" applyFill="1" applyBorder="1" applyAlignment="1">
      <alignment horizontal="center" vertical="center"/>
    </xf>
    <xf numFmtId="184" fontId="20" fillId="30" borderId="10" xfId="0" applyNumberFormat="1" applyFont="1" applyFill="1" applyBorder="1" applyAlignment="1">
      <alignment horizontal="center" vertical="center"/>
    </xf>
    <xf numFmtId="0" fontId="1" fillId="30" borderId="10" xfId="0" applyFont="1" applyFill="1" applyBorder="1" applyAlignment="1">
      <alignment horizontal="center" vertical="distributed"/>
    </xf>
    <xf numFmtId="0" fontId="1" fillId="30" borderId="0" xfId="0" applyFont="1" applyFill="1" applyAlignment="1">
      <alignment/>
    </xf>
    <xf numFmtId="0" fontId="83" fillId="30" borderId="0" xfId="0" applyFont="1" applyFill="1" applyAlignment="1">
      <alignment/>
    </xf>
    <xf numFmtId="0" fontId="84" fillId="30" borderId="0" xfId="0" applyFont="1" applyFill="1" applyAlignment="1">
      <alignment/>
    </xf>
    <xf numFmtId="0" fontId="85" fillId="30" borderId="0" xfId="0" applyFont="1" applyFill="1" applyAlignment="1">
      <alignment/>
    </xf>
    <xf numFmtId="0" fontId="86" fillId="30" borderId="0" xfId="0" applyFont="1" applyFill="1" applyAlignment="1">
      <alignment/>
    </xf>
    <xf numFmtId="0" fontId="20" fillId="29" borderId="10" xfId="0" applyFont="1" applyFill="1" applyBorder="1" applyAlignment="1">
      <alignment horizontal="center" vertical="center" wrapText="1"/>
    </xf>
    <xf numFmtId="0" fontId="43" fillId="29" borderId="10" xfId="0" applyFont="1" applyFill="1" applyBorder="1" applyAlignment="1">
      <alignment horizontal="center" vertical="center" wrapText="1"/>
    </xf>
    <xf numFmtId="3" fontId="43" fillId="29" borderId="10" xfId="0" applyNumberFormat="1" applyFont="1" applyFill="1" applyBorder="1" applyAlignment="1">
      <alignment horizontal="center" vertical="center" wrapText="1"/>
    </xf>
    <xf numFmtId="0" fontId="20" fillId="29" borderId="10" xfId="0" applyFont="1" applyFill="1" applyBorder="1" applyAlignment="1">
      <alignment horizontal="center" vertical="top"/>
    </xf>
    <xf numFmtId="184" fontId="20" fillId="29" borderId="10" xfId="0" applyNumberFormat="1" applyFont="1" applyFill="1" applyBorder="1" applyAlignment="1">
      <alignment horizontal="center" vertical="center" wrapText="1"/>
    </xf>
    <xf numFmtId="2" fontId="20" fillId="29" borderId="10" xfId="0" applyNumberFormat="1" applyFont="1" applyFill="1" applyBorder="1" applyAlignment="1">
      <alignment horizontal="left" vertical="center" wrapText="1"/>
    </xf>
    <xf numFmtId="0" fontId="43" fillId="29" borderId="10" xfId="0" applyFont="1" applyFill="1" applyBorder="1" applyAlignment="1">
      <alignment horizontal="center" vertical="center"/>
    </xf>
    <xf numFmtId="179" fontId="20" fillId="28" borderId="0" xfId="0" applyNumberFormat="1" applyFont="1" applyFill="1" applyAlignment="1">
      <alignment horizontal="center" vertical="center"/>
    </xf>
    <xf numFmtId="179" fontId="20" fillId="29" borderId="10" xfId="53" applyNumberFormat="1" applyFont="1" applyFill="1" applyBorder="1" applyAlignment="1">
      <alignment horizontal="center" vertical="center"/>
      <protection/>
    </xf>
    <xf numFmtId="179" fontId="43" fillId="29" borderId="10" xfId="0" applyNumberFormat="1" applyFont="1" applyFill="1" applyBorder="1" applyAlignment="1">
      <alignment horizontal="center" vertical="center" wrapText="1"/>
    </xf>
    <xf numFmtId="179" fontId="20" fillId="29" borderId="10" xfId="0" applyNumberFormat="1" applyFont="1" applyFill="1" applyBorder="1" applyAlignment="1">
      <alignment horizontal="center" vertical="center" wrapText="1"/>
    </xf>
    <xf numFmtId="179" fontId="20" fillId="0" borderId="10" xfId="62" applyNumberFormat="1" applyFont="1" applyFill="1" applyBorder="1" applyAlignment="1">
      <alignment horizontal="center" vertical="center"/>
      <protection/>
    </xf>
    <xf numFmtId="179" fontId="20" fillId="0" borderId="0" xfId="0" applyNumberFormat="1" applyFont="1" applyFill="1" applyAlignment="1">
      <alignment horizontal="center" vertical="center"/>
    </xf>
    <xf numFmtId="179" fontId="20" fillId="28" borderId="0" xfId="0" applyNumberFormat="1" applyFont="1" applyFill="1" applyBorder="1" applyAlignment="1">
      <alignment horizontal="center" vertical="center"/>
    </xf>
    <xf numFmtId="179" fontId="20" fillId="28" borderId="0" xfId="0" applyNumberFormat="1" applyFont="1" applyFill="1" applyBorder="1" applyAlignment="1">
      <alignment horizontal="left" vertical="center" wrapText="1"/>
    </xf>
    <xf numFmtId="179" fontId="95" fillId="28" borderId="0" xfId="0" applyNumberFormat="1" applyFont="1" applyFill="1" applyAlignment="1">
      <alignment/>
    </xf>
    <xf numFmtId="179" fontId="20" fillId="0" borderId="10" xfId="62" applyNumberFormat="1" applyFont="1" applyFill="1" applyBorder="1" applyAlignment="1">
      <alignment horizontal="center" vertical="center" wrapText="1"/>
      <protection/>
    </xf>
    <xf numFmtId="171" fontId="20" fillId="0" borderId="10" xfId="62" applyNumberFormat="1" applyFont="1" applyFill="1" applyBorder="1" applyAlignment="1">
      <alignment horizontal="center" vertical="center"/>
      <protection/>
    </xf>
    <xf numFmtId="171" fontId="20" fillId="0" borderId="10" xfId="62" applyNumberFormat="1" applyFont="1" applyFill="1" applyBorder="1" applyAlignment="1">
      <alignment horizontal="center" vertical="center" wrapText="1"/>
      <protection/>
    </xf>
    <xf numFmtId="171" fontId="96" fillId="28" borderId="0" xfId="0" applyNumberFormat="1" applyFont="1" applyFill="1" applyAlignment="1">
      <alignment/>
    </xf>
    <xf numFmtId="179" fontId="20" fillId="28" borderId="0" xfId="0" applyNumberFormat="1" applyFont="1" applyFill="1" applyAlignment="1">
      <alignment/>
    </xf>
    <xf numFmtId="179" fontId="20" fillId="29" borderId="10" xfId="0" applyNumberFormat="1" applyFont="1" applyFill="1" applyBorder="1" applyAlignment="1">
      <alignment/>
    </xf>
    <xf numFmtId="179" fontId="20" fillId="29" borderId="0" xfId="0" applyNumberFormat="1" applyFont="1" applyFill="1" applyAlignment="1">
      <alignment/>
    </xf>
    <xf numFmtId="179" fontId="43" fillId="29" borderId="10" xfId="0" applyNumberFormat="1" applyFont="1" applyFill="1" applyBorder="1" applyAlignment="1">
      <alignment horizontal="center"/>
    </xf>
    <xf numFmtId="179" fontId="22" fillId="0" borderId="10" xfId="62" applyNumberFormat="1" applyFill="1" applyBorder="1">
      <alignment/>
      <protection/>
    </xf>
    <xf numFmtId="179" fontId="20" fillId="0" borderId="10" xfId="0" applyNumberFormat="1" applyFont="1" applyFill="1" applyBorder="1" applyAlignment="1">
      <alignment/>
    </xf>
    <xf numFmtId="179" fontId="20" fillId="30" borderId="10" xfId="0" applyNumberFormat="1" applyFont="1" applyFill="1" applyBorder="1" applyAlignment="1">
      <alignment/>
    </xf>
    <xf numFmtId="179" fontId="20" fillId="0" borderId="10" xfId="0" applyNumberFormat="1" applyFont="1" applyFill="1" applyBorder="1" applyAlignment="1">
      <alignment horizontal="center"/>
    </xf>
    <xf numFmtId="179" fontId="20" fillId="0" borderId="0" xfId="0" applyNumberFormat="1" applyFont="1" applyFill="1" applyAlignment="1">
      <alignment/>
    </xf>
    <xf numFmtId="179" fontId="20" fillId="28" borderId="10" xfId="0" applyNumberFormat="1" applyFont="1" applyFill="1" applyBorder="1" applyAlignment="1">
      <alignment/>
    </xf>
    <xf numFmtId="179" fontId="20" fillId="28" borderId="10" xfId="0" applyNumberFormat="1" applyFont="1" applyFill="1" applyBorder="1" applyAlignment="1">
      <alignment horizontal="center" vertical="center"/>
    </xf>
    <xf numFmtId="179" fontId="20" fillId="29" borderId="10" xfId="0" applyNumberFormat="1" applyFont="1" applyFill="1" applyBorder="1" applyAlignment="1">
      <alignment horizontal="center"/>
    </xf>
    <xf numFmtId="179" fontId="20" fillId="0" borderId="10" xfId="0" applyNumberFormat="1" applyFont="1" applyFill="1" applyBorder="1" applyAlignment="1">
      <alignment vertical="center"/>
    </xf>
    <xf numFmtId="179" fontId="20" fillId="29" borderId="10" xfId="0" applyNumberFormat="1" applyFont="1" applyFill="1" applyBorder="1" applyAlignment="1">
      <alignment horizontal="center" vertical="center"/>
    </xf>
    <xf numFmtId="179" fontId="20" fillId="28" borderId="0" xfId="0" applyNumberFormat="1" applyFont="1" applyFill="1" applyBorder="1" applyAlignment="1">
      <alignment/>
    </xf>
    <xf numFmtId="179" fontId="94" fillId="28" borderId="0" xfId="0" applyNumberFormat="1" applyFont="1" applyFill="1" applyAlignment="1">
      <alignment/>
    </xf>
    <xf numFmtId="169" fontId="20" fillId="30" borderId="10" xfId="62" applyNumberFormat="1" applyFont="1" applyFill="1" applyBorder="1" applyAlignment="1">
      <alignment horizontal="center" vertical="center"/>
      <protection/>
    </xf>
    <xf numFmtId="179" fontId="20" fillId="30" borderId="10" xfId="62" applyNumberFormat="1" applyFont="1" applyFill="1" applyBorder="1" applyAlignment="1">
      <alignment horizontal="center" vertical="center"/>
      <protection/>
    </xf>
    <xf numFmtId="171" fontId="20" fillId="30" borderId="10" xfId="62" applyNumberFormat="1" applyFont="1" applyFill="1" applyBorder="1" applyAlignment="1">
      <alignment horizontal="center" vertical="center"/>
      <protection/>
    </xf>
    <xf numFmtId="179" fontId="22" fillId="30" borderId="10" xfId="62" applyNumberFormat="1" applyFill="1" applyBorder="1">
      <alignment/>
      <protection/>
    </xf>
    <xf numFmtId="0" fontId="7" fillId="30" borderId="10" xfId="62" applyFont="1" applyFill="1" applyBorder="1" applyAlignment="1">
      <alignment horizontal="center" vertical="distributed"/>
      <protection/>
    </xf>
    <xf numFmtId="0" fontId="22" fillId="30" borderId="0" xfId="62" applyFill="1">
      <alignment/>
      <protection/>
    </xf>
    <xf numFmtId="0" fontId="79" fillId="30" borderId="0" xfId="0" applyFont="1" applyFill="1" applyAlignment="1">
      <alignment/>
    </xf>
    <xf numFmtId="171" fontId="94" fillId="28" borderId="0" xfId="0" applyNumberFormat="1" applyFont="1" applyFill="1" applyAlignment="1">
      <alignment/>
    </xf>
    <xf numFmtId="171" fontId="20" fillId="29" borderId="10" xfId="0" applyNumberFormat="1" applyFont="1" applyFill="1" applyBorder="1" applyAlignment="1">
      <alignment horizontal="center" vertical="center"/>
    </xf>
    <xf numFmtId="179" fontId="43" fillId="29" borderId="10" xfId="0" applyNumberFormat="1" applyFont="1" applyFill="1" applyBorder="1" applyAlignment="1">
      <alignment vertical="center"/>
    </xf>
    <xf numFmtId="171" fontId="99" fillId="29" borderId="10" xfId="0" applyNumberFormat="1" applyFont="1" applyFill="1" applyBorder="1" applyAlignment="1">
      <alignment horizontal="center" vertical="center" wrapText="1"/>
    </xf>
    <xf numFmtId="171" fontId="20" fillId="28" borderId="0" xfId="0" applyNumberFormat="1" applyFont="1" applyFill="1" applyAlignment="1">
      <alignment horizontal="right" wrapText="1"/>
    </xf>
    <xf numFmtId="171" fontId="20" fillId="28" borderId="0" xfId="0" applyNumberFormat="1" applyFont="1" applyFill="1" applyAlignment="1">
      <alignment horizontal="center" wrapText="1"/>
    </xf>
    <xf numFmtId="171" fontId="20" fillId="29" borderId="27" xfId="53" applyNumberFormat="1" applyFont="1" applyFill="1" applyBorder="1" applyAlignment="1">
      <alignment horizontal="center" vertical="center"/>
      <protection/>
    </xf>
    <xf numFmtId="171" fontId="20" fillId="0" borderId="27" xfId="0" applyNumberFormat="1" applyFont="1" applyFill="1" applyBorder="1" applyAlignment="1">
      <alignment horizontal="center" vertical="center" wrapText="1"/>
    </xf>
    <xf numFmtId="171" fontId="20" fillId="28" borderId="0" xfId="0" applyNumberFormat="1" applyFont="1" applyFill="1" applyBorder="1" applyAlignment="1">
      <alignment horizontal="center" vertical="center" wrapText="1"/>
    </xf>
    <xf numFmtId="171" fontId="20" fillId="28" borderId="0" xfId="0" applyNumberFormat="1" applyFont="1" applyFill="1" applyBorder="1" applyAlignment="1">
      <alignment vertical="center" wrapText="1"/>
    </xf>
    <xf numFmtId="171" fontId="20" fillId="28" borderId="0" xfId="0" applyNumberFormat="1" applyFont="1" applyFill="1" applyAlignment="1">
      <alignment wrapText="1"/>
    </xf>
    <xf numFmtId="171" fontId="93" fillId="28" borderId="0" xfId="0" applyNumberFormat="1" applyFont="1" applyFill="1" applyAlignment="1">
      <alignment horizontal="right"/>
    </xf>
    <xf numFmtId="171" fontId="93" fillId="28" borderId="0" xfId="0" applyNumberFormat="1" applyFont="1" applyFill="1" applyAlignment="1">
      <alignment horizontal="right" wrapText="1"/>
    </xf>
    <xf numFmtId="171" fontId="100" fillId="29" borderId="10" xfId="0" applyNumberFormat="1" applyFont="1" applyFill="1" applyBorder="1" applyAlignment="1">
      <alignment horizontal="center" vertical="center" wrapText="1"/>
    </xf>
    <xf numFmtId="171" fontId="101" fillId="29" borderId="10" xfId="0" applyNumberFormat="1" applyFont="1" applyFill="1" applyBorder="1" applyAlignment="1">
      <alignment horizontal="center" vertical="center" wrapText="1"/>
    </xf>
    <xf numFmtId="171" fontId="20" fillId="30" borderId="0" xfId="0" applyNumberFormat="1" applyFont="1" applyFill="1" applyAlignment="1">
      <alignment horizontal="center"/>
    </xf>
    <xf numFmtId="0" fontId="93" fillId="28" borderId="0" xfId="54" applyFont="1" applyFill="1" applyAlignment="1">
      <alignment horizontal="left" wrapText="1"/>
      <protection/>
    </xf>
    <xf numFmtId="0" fontId="0" fillId="28" borderId="0" xfId="0" applyFill="1" applyAlignment="1">
      <alignment wrapText="1"/>
    </xf>
    <xf numFmtId="0" fontId="20" fillId="29" borderId="12" xfId="0" applyFont="1" applyFill="1" applyBorder="1" applyAlignment="1">
      <alignment horizontal="center" vertical="center" wrapText="1"/>
    </xf>
    <xf numFmtId="0" fontId="20" fillId="29" borderId="13" xfId="0" applyFont="1" applyFill="1" applyBorder="1" applyAlignment="1">
      <alignment horizontal="center" vertical="center" wrapText="1"/>
    </xf>
    <xf numFmtId="0" fontId="0" fillId="29" borderId="27" xfId="0" applyFill="1" applyBorder="1" applyAlignment="1">
      <alignment horizontal="center" vertical="center"/>
    </xf>
    <xf numFmtId="0" fontId="0" fillId="29" borderId="13" xfId="0" applyFill="1" applyBorder="1" applyAlignment="1">
      <alignment horizontal="center" vertical="center" wrapText="1"/>
    </xf>
    <xf numFmtId="0" fontId="20" fillId="29" borderId="11" xfId="0" applyFont="1" applyFill="1" applyBorder="1" applyAlignment="1">
      <alignment horizontal="center" vertical="center" wrapText="1"/>
    </xf>
    <xf numFmtId="0" fontId="0" fillId="29" borderId="15" xfId="0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27" xfId="0" applyFont="1" applyFill="1" applyBorder="1" applyAlignment="1">
      <alignment horizontal="center" vertical="center"/>
    </xf>
    <xf numFmtId="4" fontId="20" fillId="0" borderId="12" xfId="0" applyNumberFormat="1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/>
    </xf>
    <xf numFmtId="0" fontId="20" fillId="0" borderId="27" xfId="0" applyFont="1" applyFill="1" applyBorder="1" applyAlignment="1">
      <alignment horizontal="center"/>
    </xf>
    <xf numFmtId="3" fontId="20" fillId="29" borderId="11" xfId="0" applyNumberFormat="1" applyFont="1" applyFill="1" applyBorder="1" applyAlignment="1">
      <alignment horizontal="center" vertical="center" wrapText="1"/>
    </xf>
    <xf numFmtId="0" fontId="20" fillId="29" borderId="16" xfId="0" applyFont="1" applyFill="1" applyBorder="1" applyAlignment="1">
      <alignment horizontal="center" vertical="center" wrapText="1"/>
    </xf>
    <xf numFmtId="0" fontId="20" fillId="29" borderId="26" xfId="0" applyFont="1" applyFill="1" applyBorder="1" applyAlignment="1">
      <alignment horizontal="center" vertical="center" wrapText="1"/>
    </xf>
    <xf numFmtId="0" fontId="0" fillId="29" borderId="44" xfId="0" applyFill="1" applyBorder="1" applyAlignment="1">
      <alignment horizontal="center" vertical="center"/>
    </xf>
    <xf numFmtId="0" fontId="20" fillId="29" borderId="45" xfId="0" applyFont="1" applyFill="1" applyBorder="1" applyAlignment="1">
      <alignment horizontal="center" vertical="center"/>
    </xf>
    <xf numFmtId="0" fontId="0" fillId="29" borderId="46" xfId="0" applyFill="1" applyBorder="1" applyAlignment="1">
      <alignment horizontal="center" vertical="center"/>
    </xf>
    <xf numFmtId="171" fontId="20" fillId="29" borderId="11" xfId="0" applyNumberFormat="1" applyFont="1" applyFill="1" applyBorder="1" applyAlignment="1">
      <alignment horizontal="center" vertical="center" wrapText="1"/>
    </xf>
    <xf numFmtId="171" fontId="0" fillId="29" borderId="15" xfId="0" applyNumberFormat="1" applyFill="1" applyBorder="1" applyAlignment="1">
      <alignment horizontal="center" vertical="center" wrapText="1"/>
    </xf>
    <xf numFmtId="179" fontId="20" fillId="29" borderId="10" xfId="0" applyNumberFormat="1" applyFont="1" applyFill="1" applyBorder="1" applyAlignment="1">
      <alignment horizontal="center" vertical="center" wrapText="1"/>
    </xf>
    <xf numFmtId="179" fontId="0" fillId="29" borderId="10" xfId="0" applyNumberFormat="1" applyFill="1" applyBorder="1" applyAlignment="1">
      <alignment/>
    </xf>
    <xf numFmtId="179" fontId="20" fillId="29" borderId="11" xfId="0" applyNumberFormat="1" applyFont="1" applyFill="1" applyBorder="1" applyAlignment="1">
      <alignment horizontal="center" vertical="center" wrapText="1"/>
    </xf>
    <xf numFmtId="179" fontId="0" fillId="29" borderId="15" xfId="0" applyNumberFormat="1" applyFill="1" applyBorder="1" applyAlignment="1">
      <alignment/>
    </xf>
    <xf numFmtId="0" fontId="0" fillId="29" borderId="27" xfId="0" applyFill="1" applyBorder="1" applyAlignment="1">
      <alignment horizontal="center" vertical="center" wrapText="1"/>
    </xf>
    <xf numFmtId="3" fontId="20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/>
    </xf>
    <xf numFmtId="4" fontId="20" fillId="0" borderId="13" xfId="0" applyNumberFormat="1" applyFont="1" applyFill="1" applyBorder="1" applyAlignment="1">
      <alignment horizontal="center" vertical="center" wrapText="1"/>
    </xf>
    <xf numFmtId="4" fontId="20" fillId="0" borderId="27" xfId="0" applyNumberFormat="1" applyFont="1" applyFill="1" applyBorder="1" applyAlignment="1">
      <alignment horizontal="center" vertical="center" wrapText="1"/>
    </xf>
    <xf numFmtId="4" fontId="20" fillId="29" borderId="10" xfId="0" applyNumberFormat="1" applyFont="1" applyFill="1" applyBorder="1" applyAlignment="1">
      <alignment horizontal="center" vertical="center"/>
    </xf>
    <xf numFmtId="1" fontId="20" fillId="0" borderId="10" xfId="0" applyNumberFormat="1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27" xfId="0" applyFont="1" applyFill="1" applyBorder="1" applyAlignment="1">
      <alignment horizontal="center" vertical="center" wrapText="1"/>
    </xf>
    <xf numFmtId="0" fontId="20" fillId="29" borderId="10" xfId="0" applyFont="1" applyFill="1" applyBorder="1" applyAlignment="1">
      <alignment horizontal="center" vertical="center" wrapText="1"/>
    </xf>
    <xf numFmtId="0" fontId="20" fillId="29" borderId="10" xfId="0" applyFont="1" applyFill="1" applyBorder="1" applyAlignment="1">
      <alignment horizontal="center" vertical="center"/>
    </xf>
    <xf numFmtId="49" fontId="20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49" fontId="20" fillId="0" borderId="12" xfId="0" applyNumberFormat="1" applyFont="1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170" fontId="20" fillId="0" borderId="12" xfId="0" applyNumberFormat="1" applyFont="1" applyFill="1" applyBorder="1" applyAlignment="1">
      <alignment horizontal="center" vertical="center" wrapText="1"/>
    </xf>
    <xf numFmtId="170" fontId="20" fillId="0" borderId="13" xfId="0" applyNumberFormat="1" applyFont="1" applyFill="1" applyBorder="1" applyAlignment="1">
      <alignment horizontal="center" vertical="center" wrapText="1"/>
    </xf>
    <xf numFmtId="170" fontId="20" fillId="0" borderId="27" xfId="0" applyNumberFormat="1" applyFont="1" applyFill="1" applyBorder="1" applyAlignment="1">
      <alignment horizontal="center" vertical="center" wrapText="1"/>
    </xf>
    <xf numFmtId="170" fontId="20" fillId="0" borderId="10" xfId="0" applyNumberFormat="1" applyFont="1" applyFill="1" applyBorder="1" applyAlignment="1">
      <alignment horizontal="center" vertical="center" wrapText="1"/>
    </xf>
    <xf numFmtId="3" fontId="20" fillId="0" borderId="12" xfId="0" applyNumberFormat="1" applyFont="1" applyFill="1" applyBorder="1" applyAlignment="1">
      <alignment horizontal="center" vertical="center" wrapText="1"/>
    </xf>
    <xf numFmtId="3" fontId="20" fillId="0" borderId="13" xfId="0" applyNumberFormat="1" applyFont="1" applyFill="1" applyBorder="1" applyAlignment="1">
      <alignment horizontal="center" vertical="center" wrapText="1"/>
    </xf>
    <xf numFmtId="3" fontId="20" fillId="0" borderId="27" xfId="0" applyNumberFormat="1" applyFont="1" applyFill="1" applyBorder="1" applyAlignment="1">
      <alignment horizontal="center" vertical="center" wrapText="1"/>
    </xf>
    <xf numFmtId="0" fontId="20" fillId="29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vertical="center" wrapText="1"/>
    </xf>
    <xf numFmtId="170" fontId="23" fillId="0" borderId="10" xfId="0" applyNumberFormat="1" applyFont="1" applyFill="1" applyBorder="1" applyAlignment="1">
      <alignment horizontal="center" vertical="center" wrapText="1"/>
    </xf>
    <xf numFmtId="3" fontId="43" fillId="29" borderId="10" xfId="0" applyNumberFormat="1" applyFont="1" applyFill="1" applyBorder="1" applyAlignment="1">
      <alignment horizontal="center" vertical="center" wrapText="1"/>
    </xf>
    <xf numFmtId="0" fontId="43" fillId="29" borderId="10" xfId="0" applyFont="1" applyFill="1" applyBorder="1" applyAlignment="1">
      <alignment vertical="center"/>
    </xf>
    <xf numFmtId="1" fontId="20" fillId="0" borderId="12" xfId="0" applyNumberFormat="1" applyFont="1" applyFill="1" applyBorder="1" applyAlignment="1">
      <alignment horizontal="center" vertical="center" wrapText="1"/>
    </xf>
    <xf numFmtId="1" fontId="20" fillId="0" borderId="13" xfId="0" applyNumberFormat="1" applyFont="1" applyFill="1" applyBorder="1" applyAlignment="1">
      <alignment horizontal="center" vertical="center" wrapText="1"/>
    </xf>
    <xf numFmtId="1" fontId="20" fillId="0" borderId="27" xfId="0" applyNumberFormat="1" applyFont="1" applyFill="1" applyBorder="1" applyAlignment="1">
      <alignment horizontal="center" vertical="center" wrapText="1"/>
    </xf>
    <xf numFmtId="0" fontId="20" fillId="28" borderId="0" xfId="0" applyFont="1" applyFill="1" applyBorder="1" applyAlignment="1">
      <alignment horizontal="left" vertical="center" wrapText="1"/>
    </xf>
    <xf numFmtId="4" fontId="20" fillId="0" borderId="10" xfId="0" applyNumberFormat="1" applyFont="1" applyFill="1" applyBorder="1" applyAlignment="1">
      <alignment horizontal="center" vertical="center"/>
    </xf>
    <xf numFmtId="171" fontId="20" fillId="28" borderId="0" xfId="0" applyNumberFormat="1" applyFont="1" applyFill="1" applyAlignment="1">
      <alignment horizontal="right" wrapText="1"/>
    </xf>
    <xf numFmtId="171" fontId="20" fillId="28" borderId="0" xfId="0" applyNumberFormat="1" applyFont="1" applyFill="1" applyBorder="1" applyAlignment="1">
      <alignment horizontal="center" wrapText="1"/>
    </xf>
    <xf numFmtId="4" fontId="20" fillId="0" borderId="13" xfId="0" applyNumberFormat="1" applyFont="1" applyFill="1" applyBorder="1" applyAlignment="1">
      <alignment horizontal="center" vertical="center"/>
    </xf>
    <xf numFmtId="4" fontId="20" fillId="0" borderId="27" xfId="0" applyNumberFormat="1" applyFont="1" applyFill="1" applyBorder="1" applyAlignment="1">
      <alignment horizontal="center" vertical="center"/>
    </xf>
    <xf numFmtId="44" fontId="20" fillId="0" borderId="10" xfId="43" applyFont="1" applyFill="1" applyBorder="1" applyAlignment="1">
      <alignment horizontal="center" vertical="center" wrapText="1"/>
    </xf>
    <xf numFmtId="4" fontId="43" fillId="0" borderId="10" xfId="0" applyNumberFormat="1" applyFont="1" applyFill="1" applyBorder="1" applyAlignment="1">
      <alignment horizontal="center" vertical="center"/>
    </xf>
    <xf numFmtId="169" fontId="20" fillId="29" borderId="10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/>
    </xf>
    <xf numFmtId="0" fontId="43" fillId="29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left" vertical="center"/>
    </xf>
    <xf numFmtId="4" fontId="20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/>
    </xf>
    <xf numFmtId="0" fontId="20" fillId="29" borderId="10" xfId="0" applyFont="1" applyFill="1" applyBorder="1" applyAlignment="1">
      <alignment horizontal="left" vertical="center" wrapText="1"/>
    </xf>
    <xf numFmtId="0" fontId="20" fillId="29" borderId="27" xfId="0" applyFont="1" applyFill="1" applyBorder="1" applyAlignment="1">
      <alignment horizontal="left" vertical="center" wrapText="1"/>
    </xf>
    <xf numFmtId="0" fontId="43" fillId="29" borderId="11" xfId="0" applyFont="1" applyFill="1" applyBorder="1" applyAlignment="1">
      <alignment horizontal="center" vertical="center"/>
    </xf>
    <xf numFmtId="0" fontId="43" fillId="29" borderId="26" xfId="0" applyFont="1" applyFill="1" applyBorder="1" applyAlignment="1">
      <alignment horizontal="center" vertical="center" wrapText="1"/>
    </xf>
    <xf numFmtId="0" fontId="43" fillId="29" borderId="44" xfId="0" applyFont="1" applyFill="1" applyBorder="1" applyAlignment="1">
      <alignment horizontal="center" vertical="center" wrapText="1"/>
    </xf>
    <xf numFmtId="0" fontId="43" fillId="29" borderId="30" xfId="0" applyFont="1" applyFill="1" applyBorder="1" applyAlignment="1">
      <alignment horizontal="center" vertical="center" wrapText="1"/>
    </xf>
    <xf numFmtId="0" fontId="43" fillId="29" borderId="14" xfId="0" applyFont="1" applyFill="1" applyBorder="1" applyAlignment="1">
      <alignment horizontal="center" vertical="center" wrapText="1"/>
    </xf>
    <xf numFmtId="0" fontId="43" fillId="29" borderId="45" xfId="0" applyFont="1" applyFill="1" applyBorder="1" applyAlignment="1">
      <alignment horizontal="center" vertical="center" wrapText="1"/>
    </xf>
    <xf numFmtId="0" fontId="43" fillId="29" borderId="46" xfId="0" applyFont="1" applyFill="1" applyBorder="1" applyAlignment="1">
      <alignment horizontal="center" vertical="center" wrapText="1"/>
    </xf>
    <xf numFmtId="0" fontId="23" fillId="0" borderId="10" xfId="62" applyFont="1" applyFill="1" applyBorder="1" applyAlignment="1">
      <alignment horizontal="center"/>
      <protection/>
    </xf>
    <xf numFmtId="0" fontId="22" fillId="0" borderId="10" xfId="62" applyFill="1" applyBorder="1" applyAlignment="1">
      <alignment horizontal="center"/>
      <protection/>
    </xf>
    <xf numFmtId="0" fontId="23" fillId="0" borderId="10" xfId="62" applyFont="1" applyFill="1" applyBorder="1" applyAlignment="1">
      <alignment horizontal="center" vertical="center" wrapText="1"/>
      <protection/>
    </xf>
    <xf numFmtId="0" fontId="20" fillId="0" borderId="10" xfId="62" applyFont="1" applyFill="1" applyBorder="1" applyAlignment="1">
      <alignment horizontal="center" vertical="center" wrapText="1"/>
      <protection/>
    </xf>
    <xf numFmtId="4" fontId="23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1" fontId="20" fillId="0" borderId="10" xfId="0" applyNumberFormat="1" applyFont="1" applyFill="1" applyBorder="1" applyAlignment="1">
      <alignment horizontal="center" vertical="center"/>
    </xf>
    <xf numFmtId="0" fontId="43" fillId="29" borderId="11" xfId="0" applyFont="1" applyFill="1" applyBorder="1" applyAlignment="1">
      <alignment horizontal="center" vertical="center" wrapText="1"/>
    </xf>
    <xf numFmtId="0" fontId="43" fillId="29" borderId="16" xfId="0" applyFont="1" applyFill="1" applyBorder="1" applyAlignment="1">
      <alignment horizontal="center" vertical="center" wrapText="1"/>
    </xf>
    <xf numFmtId="0" fontId="43" fillId="29" borderId="15" xfId="0" applyFont="1" applyFill="1" applyBorder="1" applyAlignment="1">
      <alignment horizontal="center" vertical="center" wrapText="1"/>
    </xf>
    <xf numFmtId="0" fontId="20" fillId="0" borderId="10" xfId="0" applyNumberFormat="1" applyFont="1" applyFill="1" applyBorder="1" applyAlignment="1">
      <alignment horizontal="center" vertical="center" wrapText="1"/>
    </xf>
    <xf numFmtId="0" fontId="43" fillId="29" borderId="10" xfId="0" applyFont="1" applyFill="1" applyBorder="1" applyAlignment="1">
      <alignment horizontal="center" vertical="center"/>
    </xf>
    <xf numFmtId="3" fontId="20" fillId="29" borderId="10" xfId="0" applyNumberFormat="1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27" xfId="0" applyFont="1" applyFill="1" applyBorder="1" applyAlignment="1">
      <alignment horizontal="center" vertical="center" wrapText="1"/>
    </xf>
    <xf numFmtId="171" fontId="24" fillId="28" borderId="0" xfId="0" applyNumberFormat="1" applyFont="1" applyFill="1" applyAlignment="1">
      <alignment horizontal="right" wrapText="1"/>
    </xf>
    <xf numFmtId="49" fontId="20" fillId="0" borderId="10" xfId="62" applyNumberFormat="1" applyFont="1" applyFill="1" applyBorder="1" applyAlignment="1">
      <alignment horizontal="center" vertical="center" wrapText="1"/>
      <protection/>
    </xf>
    <xf numFmtId="0" fontId="24" fillId="31" borderId="0" xfId="0" applyFont="1" applyFill="1" applyAlignment="1">
      <alignment horizontal="center" vertical="center"/>
    </xf>
    <xf numFmtId="0" fontId="43" fillId="0" borderId="10" xfId="0" applyFont="1" applyFill="1" applyBorder="1" applyAlignment="1">
      <alignment vertical="center"/>
    </xf>
    <xf numFmtId="0" fontId="20" fillId="0" borderId="13" xfId="0" applyFont="1" applyFill="1" applyBorder="1" applyAlignment="1">
      <alignment horizontal="center" wrapText="1"/>
    </xf>
    <xf numFmtId="0" fontId="20" fillId="0" borderId="27" xfId="0" applyFont="1" applyFill="1" applyBorder="1" applyAlignment="1">
      <alignment horizontal="center" wrapText="1"/>
    </xf>
    <xf numFmtId="0" fontId="20" fillId="29" borderId="10" xfId="0" applyFont="1" applyFill="1" applyBorder="1" applyAlignment="1">
      <alignment horizontal="center"/>
    </xf>
    <xf numFmtId="0" fontId="20" fillId="29" borderId="27" xfId="0" applyFont="1" applyFill="1" applyBorder="1" applyAlignment="1">
      <alignment horizontal="center" vertical="center" wrapText="1"/>
    </xf>
    <xf numFmtId="0" fontId="20" fillId="0" borderId="10" xfId="62" applyNumberFormat="1" applyFont="1" applyFill="1" applyBorder="1" applyAlignment="1">
      <alignment horizontal="center" vertical="center" wrapText="1"/>
      <protection/>
    </xf>
    <xf numFmtId="0" fontId="20" fillId="0" borderId="10" xfId="62" applyFont="1" applyFill="1" applyBorder="1" applyAlignment="1">
      <alignment horizontal="left" vertical="center" wrapText="1"/>
      <protection/>
    </xf>
    <xf numFmtId="3" fontId="23" fillId="0" borderId="12" xfId="0" applyNumberFormat="1" applyFont="1" applyFill="1" applyBorder="1" applyAlignment="1">
      <alignment horizontal="center" vertical="center" wrapText="1"/>
    </xf>
    <xf numFmtId="3" fontId="23" fillId="0" borderId="13" xfId="0" applyNumberFormat="1" applyFont="1" applyFill="1" applyBorder="1" applyAlignment="1">
      <alignment horizontal="center" vertical="center" wrapText="1"/>
    </xf>
    <xf numFmtId="3" fontId="23" fillId="0" borderId="27" xfId="0" applyNumberFormat="1" applyFont="1" applyFill="1" applyBorder="1" applyAlignment="1">
      <alignment horizontal="center" vertical="center" wrapText="1"/>
    </xf>
    <xf numFmtId="168" fontId="20" fillId="0" borderId="10" xfId="0" applyNumberFormat="1" applyFont="1" applyFill="1" applyBorder="1" applyAlignment="1">
      <alignment horizontal="center" vertical="center" wrapText="1"/>
    </xf>
    <xf numFmtId="44" fontId="20" fillId="0" borderId="12" xfId="43" applyFont="1" applyFill="1" applyBorder="1" applyAlignment="1">
      <alignment horizontal="center" vertical="center" wrapText="1"/>
    </xf>
    <xf numFmtId="44" fontId="20" fillId="0" borderId="13" xfId="43" applyFont="1" applyFill="1" applyBorder="1" applyAlignment="1">
      <alignment horizontal="center" vertical="center" wrapText="1"/>
    </xf>
    <xf numFmtId="44" fontId="20" fillId="0" borderId="27" xfId="43" applyFont="1" applyFill="1" applyBorder="1" applyAlignment="1">
      <alignment horizontal="center" vertical="center" wrapText="1"/>
    </xf>
    <xf numFmtId="0" fontId="88" fillId="29" borderId="11" xfId="0" applyFont="1" applyFill="1" applyBorder="1" applyAlignment="1">
      <alignment horizontal="center" vertical="distributed"/>
    </xf>
    <xf numFmtId="0" fontId="88" fillId="29" borderId="16" xfId="0" applyFont="1" applyFill="1" applyBorder="1" applyAlignment="1">
      <alignment horizontal="center" vertical="distributed"/>
    </xf>
    <xf numFmtId="0" fontId="88" fillId="29" borderId="15" xfId="0" applyFont="1" applyFill="1" applyBorder="1" applyAlignment="1">
      <alignment horizontal="center" vertical="distributed"/>
    </xf>
    <xf numFmtId="0" fontId="88" fillId="29" borderId="10" xfId="0" applyFont="1" applyFill="1" applyBorder="1" applyAlignment="1">
      <alignment horizontal="center" vertical="distributed"/>
    </xf>
    <xf numFmtId="0" fontId="20" fillId="0" borderId="10" xfId="0" applyFont="1" applyFill="1" applyBorder="1" applyAlignment="1">
      <alignment horizontal="center" vertical="top"/>
    </xf>
    <xf numFmtId="170" fontId="77" fillId="0" borderId="0" xfId="0" applyNumberFormat="1" applyFont="1" applyAlignment="1">
      <alignment wrapText="1"/>
    </xf>
    <xf numFmtId="169" fontId="77" fillId="0" borderId="0" xfId="0" applyNumberFormat="1" applyFont="1" applyAlignment="1">
      <alignment horizontal="center" wrapText="1"/>
    </xf>
    <xf numFmtId="0" fontId="77" fillId="0" borderId="0" xfId="0" applyFont="1" applyAlignment="1">
      <alignment wrapText="1"/>
    </xf>
    <xf numFmtId="170" fontId="77" fillId="0" borderId="0" xfId="0" applyNumberFormat="1" applyFont="1" applyAlignment="1">
      <alignment horizontal="left" wrapText="1"/>
    </xf>
    <xf numFmtId="0" fontId="76" fillId="0" borderId="0" xfId="0" applyFont="1" applyAlignment="1">
      <alignment horizontal="justify" vertical="center" wrapText="1"/>
    </xf>
    <xf numFmtId="4" fontId="76" fillId="0" borderId="0" xfId="0" applyNumberFormat="1" applyFont="1" applyAlignment="1">
      <alignment horizontal="center" wrapText="1"/>
    </xf>
    <xf numFmtId="0" fontId="77" fillId="0" borderId="0" xfId="0" applyFont="1" applyAlignment="1">
      <alignment horizontal="center" vertical="center" wrapText="1"/>
    </xf>
    <xf numFmtId="0" fontId="77" fillId="0" borderId="0" xfId="0" applyFont="1" applyAlignment="1">
      <alignment horizontal="center" vertical="center"/>
    </xf>
    <xf numFmtId="0" fontId="4" fillId="8" borderId="12" xfId="0" applyFont="1" applyFill="1" applyBorder="1" applyAlignment="1">
      <alignment horizontal="center" vertical="center"/>
    </xf>
    <xf numFmtId="0" fontId="4" fillId="8" borderId="13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169" fontId="0" fillId="0" borderId="10" xfId="0" applyNumberFormat="1" applyFont="1" applyFill="1" applyBorder="1" applyAlignment="1">
      <alignment horizontal="center" vertical="center" wrapText="1"/>
    </xf>
    <xf numFmtId="169" fontId="0" fillId="0" borderId="10" xfId="0" applyNumberFormat="1" applyFont="1" applyBorder="1" applyAlignment="1">
      <alignment horizontal="center" vertical="center" wrapText="1"/>
    </xf>
    <xf numFmtId="169" fontId="0" fillId="0" borderId="10" xfId="0" applyNumberFormat="1" applyFont="1" applyBorder="1" applyAlignment="1">
      <alignment horizontal="center" vertical="center" wrapText="1"/>
    </xf>
    <xf numFmtId="0" fontId="3" fillId="14" borderId="10" xfId="0" applyFont="1" applyFill="1" applyBorder="1" applyAlignment="1">
      <alignment horizontal="center" vertical="center" wrapText="1"/>
    </xf>
    <xf numFmtId="0" fontId="0" fillId="25" borderId="10" xfId="0" applyFont="1" applyFill="1" applyBorder="1" applyAlignment="1">
      <alignment horizontal="center" vertical="center"/>
    </xf>
    <xf numFmtId="0" fontId="4" fillId="25" borderId="10" xfId="0" applyFont="1" applyFill="1" applyBorder="1" applyAlignment="1">
      <alignment horizontal="center" vertical="center"/>
    </xf>
    <xf numFmtId="169" fontId="4" fillId="25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center" vertical="center" wrapText="1"/>
    </xf>
    <xf numFmtId="16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14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/>
    </xf>
    <xf numFmtId="0" fontId="4" fillId="4" borderId="10" xfId="0" applyNumberFormat="1" applyFont="1" applyFill="1" applyBorder="1" applyAlignment="1">
      <alignment horizontal="center" vertical="center" wrapText="1"/>
    </xf>
    <xf numFmtId="169" fontId="0" fillId="4" borderId="10" xfId="0" applyNumberFormat="1" applyFont="1" applyFill="1" applyBorder="1" applyAlignment="1">
      <alignment horizontal="center" vertical="center"/>
    </xf>
    <xf numFmtId="169" fontId="4" fillId="0" borderId="10" xfId="0" applyNumberFormat="1" applyFont="1" applyFill="1" applyBorder="1" applyAlignment="1">
      <alignment horizontal="center" vertical="center" wrapText="1"/>
    </xf>
    <xf numFmtId="0" fontId="0" fillId="4" borderId="10" xfId="0" applyFont="1" applyFill="1" applyBorder="1" applyAlignment="1">
      <alignment horizontal="center" vertical="center"/>
    </xf>
    <xf numFmtId="169" fontId="4" fillId="4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69" fontId="0" fillId="0" borderId="10" xfId="0" applyNumberFormat="1" applyFont="1" applyBorder="1" applyAlignment="1">
      <alignment horizontal="center" vertical="center" wrapText="1"/>
    </xf>
    <xf numFmtId="16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" fontId="3" fillId="14" borderId="10" xfId="0" applyNumberFormat="1" applyFont="1" applyFill="1" applyBorder="1" applyAlignment="1">
      <alignment horizontal="center" vertical="center"/>
    </xf>
    <xf numFmtId="0" fontId="7" fillId="25" borderId="10" xfId="0" applyFont="1" applyFill="1" applyBorder="1" applyAlignment="1">
      <alignment horizontal="center" vertical="center" wrapText="1"/>
    </xf>
    <xf numFmtId="0" fontId="0" fillId="14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left" vertical="center" wrapText="1"/>
    </xf>
    <xf numFmtId="4" fontId="0" fillId="14" borderId="10" xfId="0" applyNumberFormat="1" applyFont="1" applyFill="1" applyBorder="1" applyAlignment="1">
      <alignment horizontal="center" vertical="center"/>
    </xf>
    <xf numFmtId="0" fontId="0" fillId="25" borderId="10" xfId="0" applyFont="1" applyFill="1" applyBorder="1" applyAlignment="1">
      <alignment horizontal="center" vertical="center"/>
    </xf>
    <xf numFmtId="16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49" fontId="0" fillId="0" borderId="10" xfId="0" applyNumberFormat="1" applyFont="1" applyFill="1" applyBorder="1" applyAlignment="1">
      <alignment horizontal="right" vertical="center"/>
    </xf>
    <xf numFmtId="169" fontId="13" fillId="0" borderId="10" xfId="0" applyNumberFormat="1" applyFont="1" applyBorder="1" applyAlignment="1">
      <alignment horizontal="center" vertical="center" wrapText="1"/>
    </xf>
    <xf numFmtId="0" fontId="0" fillId="25" borderId="10" xfId="0" applyFont="1" applyFill="1" applyBorder="1" applyAlignment="1">
      <alignment horizontal="center" vertical="center" wrapText="1"/>
    </xf>
    <xf numFmtId="169" fontId="0" fillId="25" borderId="12" xfId="0" applyNumberFormat="1" applyFont="1" applyFill="1" applyBorder="1" applyAlignment="1">
      <alignment horizontal="center" vertical="center" wrapText="1"/>
    </xf>
    <xf numFmtId="169" fontId="0" fillId="25" borderId="13" xfId="0" applyNumberFormat="1" applyFont="1" applyFill="1" applyBorder="1" applyAlignment="1">
      <alignment horizontal="center" vertical="center" wrapText="1"/>
    </xf>
    <xf numFmtId="169" fontId="0" fillId="25" borderId="27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169" fontId="0" fillId="0" borderId="10" xfId="0" applyNumberFormat="1" applyFill="1" applyBorder="1" applyAlignment="1">
      <alignment horizontal="center" vertical="center" wrapText="1"/>
    </xf>
    <xf numFmtId="169" fontId="0" fillId="0" borderId="10" xfId="0" applyNumberForma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textRotation="90" wrapText="1"/>
    </xf>
    <xf numFmtId="0" fontId="0" fillId="7" borderId="10" xfId="0" applyFont="1" applyFill="1" applyBorder="1" applyAlignment="1">
      <alignment horizontal="center" vertical="center"/>
    </xf>
    <xf numFmtId="0" fontId="4" fillId="7" borderId="10" xfId="0" applyFont="1" applyFill="1" applyBorder="1" applyAlignment="1">
      <alignment horizontal="center" vertical="center" wrapText="1"/>
    </xf>
    <xf numFmtId="169" fontId="4" fillId="7" borderId="10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3" fontId="8" fillId="32" borderId="10" xfId="0" applyNumberFormat="1" applyFont="1" applyFill="1" applyBorder="1" applyAlignment="1">
      <alignment horizontal="center" vertical="center" wrapText="1"/>
    </xf>
    <xf numFmtId="169" fontId="7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69" fontId="2" fillId="0" borderId="0" xfId="0" applyNumberFormat="1" applyFont="1" applyAlignment="1">
      <alignment horizontal="center" vertical="center"/>
    </xf>
    <xf numFmtId="169" fontId="18" fillId="0" borderId="0" xfId="0" applyNumberFormat="1" applyFont="1" applyAlignment="1">
      <alignment horizontal="right" wrapText="1"/>
    </xf>
    <xf numFmtId="0" fontId="19" fillId="0" borderId="0" xfId="0" applyFont="1" applyAlignment="1">
      <alignment horizontal="center" vertical="center" wrapText="1"/>
    </xf>
    <xf numFmtId="169" fontId="1" fillId="0" borderId="0" xfId="0" applyNumberFormat="1" applyFont="1" applyBorder="1" applyAlignment="1">
      <alignment horizontal="center" wrapText="1"/>
    </xf>
    <xf numFmtId="169" fontId="7" fillId="0" borderId="10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3" fillId="14" borderId="11" xfId="0" applyFont="1" applyFill="1" applyBorder="1" applyAlignment="1">
      <alignment horizontal="center" vertical="center" wrapText="1"/>
    </xf>
    <xf numFmtId="0" fontId="3" fillId="14" borderId="16" xfId="0" applyFont="1" applyFill="1" applyBorder="1" applyAlignment="1">
      <alignment horizontal="center" vertical="center" wrapText="1"/>
    </xf>
    <xf numFmtId="0" fontId="3" fillId="14" borderId="15" xfId="0" applyFont="1" applyFill="1" applyBorder="1" applyAlignment="1">
      <alignment horizontal="center" vertical="center" wrapText="1"/>
    </xf>
    <xf numFmtId="169" fontId="50" fillId="0" borderId="10" xfId="0" applyNumberFormat="1" applyFont="1" applyFill="1" applyBorder="1" applyAlignment="1">
      <alignment horizontal="center" vertical="center" wrapText="1"/>
    </xf>
    <xf numFmtId="169" fontId="0" fillId="0" borderId="12" xfId="0" applyNumberFormat="1" applyFont="1" applyBorder="1" applyAlignment="1">
      <alignment horizontal="center" vertical="center" wrapText="1"/>
    </xf>
    <xf numFmtId="169" fontId="0" fillId="0" borderId="13" xfId="0" applyNumberFormat="1" applyFont="1" applyBorder="1" applyAlignment="1">
      <alignment horizontal="center" vertical="center" wrapText="1"/>
    </xf>
    <xf numFmtId="169" fontId="0" fillId="0" borderId="27" xfId="0" applyNumberFormat="1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169" fontId="0" fillId="0" borderId="12" xfId="0" applyNumberFormat="1" applyFont="1" applyFill="1" applyBorder="1" applyAlignment="1">
      <alignment horizontal="center" vertical="center" wrapText="1"/>
    </xf>
    <xf numFmtId="169" fontId="0" fillId="0" borderId="13" xfId="0" applyNumberFormat="1" applyFont="1" applyFill="1" applyBorder="1" applyAlignment="1">
      <alignment horizontal="center" vertical="center" wrapText="1"/>
    </xf>
    <xf numFmtId="169" fontId="0" fillId="0" borderId="27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 wrapText="1"/>
    </xf>
    <xf numFmtId="169" fontId="11" fillId="0" borderId="10" xfId="0" applyNumberFormat="1" applyFont="1" applyFill="1" applyBorder="1" applyAlignment="1">
      <alignment horizontal="center" vertical="center" wrapText="1"/>
    </xf>
    <xf numFmtId="16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justify" vertical="center" wrapText="1"/>
    </xf>
    <xf numFmtId="3" fontId="28" fillId="0" borderId="12" xfId="55" applyNumberFormat="1" applyFont="1" applyFill="1" applyBorder="1" applyAlignment="1">
      <alignment horizontal="center" vertical="center" wrapText="1"/>
      <protection/>
    </xf>
    <xf numFmtId="3" fontId="28" fillId="0" borderId="27" xfId="55" applyNumberFormat="1" applyFont="1" applyFill="1" applyBorder="1" applyAlignment="1">
      <alignment horizontal="center" vertical="center" wrapText="1"/>
      <protection/>
    </xf>
    <xf numFmtId="0" fontId="25" fillId="0" borderId="10" xfId="55" applyFont="1" applyBorder="1" applyAlignment="1">
      <alignment horizontal="center" vertical="center" wrapText="1"/>
      <protection/>
    </xf>
    <xf numFmtId="0" fontId="25" fillId="0" borderId="10" xfId="55" applyFont="1" applyFill="1" applyBorder="1" applyAlignment="1">
      <alignment vertical="center" wrapText="1"/>
      <protection/>
    </xf>
    <xf numFmtId="169" fontId="28" fillId="0" borderId="12" xfId="55" applyNumberFormat="1" applyFont="1" applyFill="1" applyBorder="1" applyAlignment="1">
      <alignment horizontal="center" vertical="center"/>
      <protection/>
    </xf>
    <xf numFmtId="169" fontId="28" fillId="0" borderId="27" xfId="55" applyNumberFormat="1" applyFont="1" applyFill="1" applyBorder="1" applyAlignment="1">
      <alignment horizontal="center" vertical="center"/>
      <protection/>
    </xf>
    <xf numFmtId="0" fontId="25" fillId="0" borderId="12" xfId="55" applyFont="1" applyFill="1" applyBorder="1" applyAlignment="1">
      <alignment horizontal="center" vertical="center" wrapText="1"/>
      <protection/>
    </xf>
    <xf numFmtId="0" fontId="25" fillId="0" borderId="27" xfId="55" applyFont="1" applyFill="1" applyBorder="1" applyAlignment="1">
      <alignment horizontal="center" vertical="center" wrapText="1"/>
      <protection/>
    </xf>
    <xf numFmtId="0" fontId="25" fillId="0" borderId="12" xfId="55" applyFont="1" applyFill="1" applyBorder="1" applyAlignment="1">
      <alignment horizontal="left" vertical="center" wrapText="1"/>
      <protection/>
    </xf>
    <xf numFmtId="0" fontId="25" fillId="0" borderId="27" xfId="55" applyFont="1" applyFill="1" applyBorder="1" applyAlignment="1">
      <alignment horizontal="left" vertical="center" wrapText="1"/>
      <protection/>
    </xf>
    <xf numFmtId="0" fontId="25" fillId="0" borderId="10" xfId="55" applyFont="1" applyFill="1" applyBorder="1" applyAlignment="1">
      <alignment horizontal="left" vertical="center" wrapText="1"/>
      <protection/>
    </xf>
    <xf numFmtId="168" fontId="26" fillId="4" borderId="12" xfId="55" applyNumberFormat="1" applyFont="1" applyFill="1" applyBorder="1" applyAlignment="1">
      <alignment horizontal="center" vertical="center" wrapText="1"/>
      <protection/>
    </xf>
    <xf numFmtId="168" fontId="26" fillId="4" borderId="13" xfId="55" applyNumberFormat="1" applyFont="1" applyFill="1" applyBorder="1" applyAlignment="1">
      <alignment horizontal="center" vertical="center" wrapText="1"/>
      <protection/>
    </xf>
    <xf numFmtId="168" fontId="26" fillId="4" borderId="27" xfId="55" applyNumberFormat="1" applyFont="1" applyFill="1" applyBorder="1" applyAlignment="1">
      <alignment horizontal="center" vertical="center" wrapText="1"/>
      <protection/>
    </xf>
    <xf numFmtId="3" fontId="28" fillId="0" borderId="12" xfId="55" applyNumberFormat="1" applyFont="1" applyBorder="1" applyAlignment="1">
      <alignment horizontal="center" vertical="center" wrapText="1"/>
      <protection/>
    </xf>
    <xf numFmtId="3" fontId="28" fillId="0" borderId="27" xfId="55" applyNumberFormat="1" applyFont="1" applyBorder="1" applyAlignment="1">
      <alignment horizontal="center" vertical="center" wrapText="1"/>
      <protection/>
    </xf>
    <xf numFmtId="169" fontId="26" fillId="4" borderId="12" xfId="55" applyNumberFormat="1" applyFont="1" applyFill="1" applyBorder="1" applyAlignment="1">
      <alignment horizontal="center" vertical="center" wrapText="1"/>
      <protection/>
    </xf>
    <xf numFmtId="169" fontId="26" fillId="4" borderId="27" xfId="55" applyNumberFormat="1" applyFont="1" applyFill="1" applyBorder="1" applyAlignment="1">
      <alignment horizontal="center" vertical="center" wrapText="1"/>
      <protection/>
    </xf>
    <xf numFmtId="0" fontId="25" fillId="0" borderId="11" xfId="55" applyFont="1" applyFill="1" applyBorder="1" applyAlignment="1">
      <alignment horizontal="center" vertical="center" wrapText="1"/>
      <protection/>
    </xf>
    <xf numFmtId="0" fontId="26" fillId="0" borderId="10" xfId="55" applyFont="1" applyFill="1" applyBorder="1" applyAlignment="1">
      <alignment horizontal="center" vertical="center" wrapText="1"/>
      <protection/>
    </xf>
    <xf numFmtId="0" fontId="25" fillId="0" borderId="13" xfId="55" applyFont="1" applyFill="1" applyBorder="1" applyAlignment="1">
      <alignment horizontal="left" vertical="center" wrapText="1"/>
      <protection/>
    </xf>
    <xf numFmtId="0" fontId="25" fillId="0" borderId="10" xfId="55" applyFont="1" applyBorder="1" applyAlignment="1">
      <alignment horizontal="left" vertical="center" wrapText="1"/>
      <protection/>
    </xf>
    <xf numFmtId="0" fontId="25" fillId="0" borderId="10" xfId="55" applyFont="1" applyBorder="1" applyAlignment="1">
      <alignment vertical="center" wrapText="1"/>
      <protection/>
    </xf>
    <xf numFmtId="169" fontId="28" fillId="0" borderId="11" xfId="55" applyNumberFormat="1" applyFont="1" applyFill="1" applyBorder="1" applyAlignment="1">
      <alignment horizontal="center" vertical="center" wrapText="1"/>
      <protection/>
    </xf>
    <xf numFmtId="169" fontId="28" fillId="0" borderId="15" xfId="55" applyNumberFormat="1" applyFont="1" applyFill="1" applyBorder="1" applyAlignment="1">
      <alignment horizontal="center" vertical="center" wrapText="1"/>
      <protection/>
    </xf>
    <xf numFmtId="169" fontId="28" fillId="0" borderId="12" xfId="55" applyNumberFormat="1" applyFont="1" applyFill="1" applyBorder="1" applyAlignment="1">
      <alignment horizontal="center" vertical="center" wrapText="1"/>
      <protection/>
    </xf>
    <xf numFmtId="169" fontId="28" fillId="0" borderId="27" xfId="55" applyNumberFormat="1" applyFont="1" applyFill="1" applyBorder="1" applyAlignment="1">
      <alignment horizontal="center" vertical="center" wrapText="1"/>
      <protection/>
    </xf>
    <xf numFmtId="169" fontId="28" fillId="0" borderId="13" xfId="55" applyNumberFormat="1" applyFont="1" applyFill="1" applyBorder="1" applyAlignment="1">
      <alignment horizontal="center" vertical="center"/>
      <protection/>
    </xf>
    <xf numFmtId="169" fontId="26" fillId="0" borderId="11" xfId="55" applyNumberFormat="1" applyFont="1" applyFill="1" applyBorder="1" applyAlignment="1">
      <alignment horizontal="center" vertical="center" wrapText="1"/>
      <protection/>
    </xf>
    <xf numFmtId="169" fontId="26" fillId="0" borderId="16" xfId="55" applyNumberFormat="1" applyFont="1" applyFill="1" applyBorder="1" applyAlignment="1">
      <alignment horizontal="center" vertical="center" wrapText="1"/>
      <protection/>
    </xf>
    <xf numFmtId="169" fontId="26" fillId="0" borderId="15" xfId="55" applyNumberFormat="1" applyFont="1" applyFill="1" applyBorder="1" applyAlignment="1">
      <alignment horizontal="center" vertical="center" wrapText="1"/>
      <protection/>
    </xf>
    <xf numFmtId="3" fontId="26" fillId="4" borderId="12" xfId="55" applyNumberFormat="1" applyFont="1" applyFill="1" applyBorder="1" applyAlignment="1">
      <alignment horizontal="center" vertical="center" wrapText="1"/>
      <protection/>
    </xf>
    <xf numFmtId="3" fontId="26" fillId="4" borderId="27" xfId="55" applyNumberFormat="1" applyFont="1" applyFill="1" applyBorder="1" applyAlignment="1">
      <alignment horizontal="center" vertical="center" wrapText="1"/>
      <protection/>
    </xf>
    <xf numFmtId="169" fontId="25" fillId="0" borderId="0" xfId="55" applyNumberFormat="1" applyFont="1" applyAlignment="1">
      <alignment horizontal="right" vertical="center" wrapText="1"/>
      <protection/>
    </xf>
    <xf numFmtId="0" fontId="27" fillId="0" borderId="0" xfId="55" applyFont="1" applyFill="1" applyBorder="1" applyAlignment="1">
      <alignment horizontal="center" vertical="center" wrapText="1"/>
      <protection/>
    </xf>
    <xf numFmtId="168" fontId="28" fillId="0" borderId="12" xfId="55" applyNumberFormat="1" applyFont="1" applyFill="1" applyBorder="1" applyAlignment="1">
      <alignment horizontal="center" vertical="center" wrapText="1"/>
      <protection/>
    </xf>
    <xf numFmtId="168" fontId="28" fillId="0" borderId="27" xfId="55" applyNumberFormat="1" applyFont="1" applyFill="1" applyBorder="1" applyAlignment="1">
      <alignment horizontal="center" vertical="center" wrapText="1"/>
      <protection/>
    </xf>
    <xf numFmtId="3" fontId="28" fillId="0" borderId="12" xfId="55" applyNumberFormat="1" applyFont="1" applyBorder="1" applyAlignment="1">
      <alignment horizontal="center" vertical="center"/>
      <protection/>
    </xf>
    <xf numFmtId="3" fontId="28" fillId="0" borderId="27" xfId="55" applyNumberFormat="1" applyFont="1" applyBorder="1" applyAlignment="1">
      <alignment horizontal="center" vertical="center"/>
      <protection/>
    </xf>
    <xf numFmtId="3" fontId="28" fillId="0" borderId="27" xfId="55" applyNumberFormat="1" applyFont="1" applyFill="1" applyBorder="1" applyAlignment="1">
      <alignment horizontal="center" vertical="center"/>
      <protection/>
    </xf>
    <xf numFmtId="169" fontId="28" fillId="0" borderId="12" xfId="55" applyNumberFormat="1" applyFont="1" applyBorder="1" applyAlignment="1">
      <alignment horizontal="center" vertical="center"/>
      <protection/>
    </xf>
    <xf numFmtId="169" fontId="28" fillId="0" borderId="27" xfId="55" applyNumberFormat="1" applyFont="1" applyBorder="1" applyAlignment="1">
      <alignment horizontal="center" vertical="center"/>
      <protection/>
    </xf>
    <xf numFmtId="0" fontId="25" fillId="0" borderId="0" xfId="55" applyFont="1" applyBorder="1" applyAlignment="1">
      <alignment horizontal="left" vertical="center" wrapText="1"/>
      <protection/>
    </xf>
    <xf numFmtId="0" fontId="33" fillId="0" borderId="0" xfId="55" applyFont="1" applyBorder="1" applyAlignment="1">
      <alignment horizontal="left" vertical="center" wrapText="1"/>
      <protection/>
    </xf>
    <xf numFmtId="169" fontId="28" fillId="0" borderId="12" xfId="55" applyNumberFormat="1" applyFont="1" applyBorder="1" applyAlignment="1">
      <alignment horizontal="center" vertical="center" wrapText="1"/>
      <protection/>
    </xf>
    <xf numFmtId="169" fontId="28" fillId="0" borderId="27" xfId="55" applyNumberFormat="1" applyFont="1" applyBorder="1" applyAlignment="1">
      <alignment horizontal="center" vertical="center" wrapText="1"/>
      <protection/>
    </xf>
    <xf numFmtId="3" fontId="30" fillId="0" borderId="12" xfId="55" applyNumberFormat="1" applyFont="1" applyFill="1" applyBorder="1" applyAlignment="1">
      <alignment horizontal="center" vertical="center" wrapText="1"/>
      <protection/>
    </xf>
    <xf numFmtId="3" fontId="30" fillId="0" borderId="27" xfId="55" applyNumberFormat="1" applyFont="1" applyFill="1" applyBorder="1" applyAlignment="1">
      <alignment horizontal="center" vertical="center" wrapText="1"/>
      <protection/>
    </xf>
    <xf numFmtId="168" fontId="25" fillId="0" borderId="10" xfId="55" applyNumberFormat="1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8" borderId="10" xfId="0" applyFont="1" applyFill="1" applyBorder="1" applyAlignment="1">
      <alignment horizontal="center" vertical="top"/>
    </xf>
    <xf numFmtId="0" fontId="3" fillId="8" borderId="10" xfId="0" applyFont="1" applyFill="1" applyBorder="1" applyAlignment="1">
      <alignment horizontal="center" vertical="center"/>
    </xf>
    <xf numFmtId="0" fontId="3" fillId="8" borderId="10" xfId="0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left" vertical="center" wrapText="1"/>
    </xf>
    <xf numFmtId="2" fontId="40" fillId="0" borderId="0" xfId="0" applyNumberFormat="1" applyFont="1" applyAlignment="1">
      <alignment horizontal="center" vertical="center" wrapText="1"/>
    </xf>
    <xf numFmtId="2" fontId="13" fillId="8" borderId="10" xfId="0" applyNumberFormat="1" applyFont="1" applyFill="1" applyBorder="1" applyAlignment="1">
      <alignment horizontal="center" vertical="center" wrapText="1"/>
    </xf>
    <xf numFmtId="0" fontId="3" fillId="7" borderId="11" xfId="0" applyFont="1" applyFill="1" applyBorder="1" applyAlignment="1">
      <alignment horizontal="center" vertical="center"/>
    </xf>
    <xf numFmtId="0" fontId="3" fillId="7" borderId="16" xfId="0" applyFont="1" applyFill="1" applyBorder="1" applyAlignment="1">
      <alignment horizontal="center" vertical="center"/>
    </xf>
    <xf numFmtId="0" fontId="3" fillId="7" borderId="15" xfId="0" applyFont="1" applyFill="1" applyBorder="1" applyAlignment="1">
      <alignment horizontal="center" vertical="center"/>
    </xf>
    <xf numFmtId="0" fontId="55" fillId="7" borderId="26" xfId="0" applyFont="1" applyFill="1" applyBorder="1" applyAlignment="1">
      <alignment horizontal="center" vertical="center"/>
    </xf>
    <xf numFmtId="0" fontId="55" fillId="7" borderId="44" xfId="0" applyFont="1" applyFill="1" applyBorder="1" applyAlignment="1">
      <alignment horizontal="center" vertical="center"/>
    </xf>
    <xf numFmtId="0" fontId="26" fillId="7" borderId="10" xfId="0" applyFont="1" applyFill="1" applyBorder="1" applyAlignment="1">
      <alignment horizontal="center" vertical="center"/>
    </xf>
    <xf numFmtId="0" fontId="0" fillId="7" borderId="10" xfId="0" applyFill="1" applyBorder="1" applyAlignment="1">
      <alignment/>
    </xf>
    <xf numFmtId="0" fontId="26" fillId="7" borderId="27" xfId="0" applyFont="1" applyFill="1" applyBorder="1" applyAlignment="1">
      <alignment horizontal="center" vertical="center" wrapText="1"/>
    </xf>
    <xf numFmtId="0" fontId="46" fillId="0" borderId="11" xfId="62" applyFont="1" applyFill="1" applyBorder="1" applyAlignment="1">
      <alignment horizontal="left" vertical="center" wrapText="1"/>
      <protection/>
    </xf>
    <xf numFmtId="0" fontId="46" fillId="0" borderId="16" xfId="62" applyFont="1" applyFill="1" applyBorder="1" applyAlignment="1">
      <alignment horizontal="left" vertical="center" wrapText="1"/>
      <protection/>
    </xf>
    <xf numFmtId="0" fontId="46" fillId="0" borderId="15" xfId="62" applyFont="1" applyFill="1" applyBorder="1" applyAlignment="1">
      <alignment horizontal="left" vertical="center" wrapText="1"/>
      <protection/>
    </xf>
    <xf numFmtId="0" fontId="54" fillId="0" borderId="0" xfId="62" applyFont="1" applyBorder="1" applyAlignment="1">
      <alignment horizontal="left" vertical="center" wrapText="1"/>
      <protection/>
    </xf>
    <xf numFmtId="49" fontId="43" fillId="0" borderId="12" xfId="62" applyNumberFormat="1" applyFont="1" applyBorder="1" applyAlignment="1">
      <alignment horizontal="center" vertical="center"/>
      <protection/>
    </xf>
    <xf numFmtId="49" fontId="43" fillId="0" borderId="13" xfId="62" applyNumberFormat="1" applyFont="1" applyBorder="1" applyAlignment="1">
      <alignment horizontal="center" vertical="center"/>
      <protection/>
    </xf>
    <xf numFmtId="49" fontId="43" fillId="0" borderId="27" xfId="62" applyNumberFormat="1" applyFont="1" applyBorder="1" applyAlignment="1">
      <alignment horizontal="center" vertical="center"/>
      <protection/>
    </xf>
    <xf numFmtId="0" fontId="43" fillId="0" borderId="12" xfId="62" applyFont="1" applyBorder="1" applyAlignment="1">
      <alignment horizontal="left" vertical="center"/>
      <protection/>
    </xf>
    <xf numFmtId="0" fontId="43" fillId="0" borderId="13" xfId="62" applyFont="1" applyBorder="1" applyAlignment="1">
      <alignment horizontal="left" vertical="center"/>
      <protection/>
    </xf>
    <xf numFmtId="0" fontId="43" fillId="0" borderId="27" xfId="62" applyFont="1" applyBorder="1" applyAlignment="1">
      <alignment horizontal="left" vertical="center"/>
      <protection/>
    </xf>
    <xf numFmtId="0" fontId="43" fillId="0" borderId="12" xfId="62" applyFont="1" applyBorder="1" applyAlignment="1">
      <alignment horizontal="center" vertical="center" wrapText="1"/>
      <protection/>
    </xf>
    <xf numFmtId="0" fontId="43" fillId="0" borderId="13" xfId="62" applyFont="1" applyBorder="1" applyAlignment="1">
      <alignment horizontal="center" vertical="center" wrapText="1"/>
      <protection/>
    </xf>
    <xf numFmtId="0" fontId="43" fillId="0" borderId="27" xfId="62" applyFont="1" applyBorder="1" applyAlignment="1">
      <alignment horizontal="center" vertical="center" wrapText="1"/>
      <protection/>
    </xf>
    <xf numFmtId="0" fontId="43" fillId="0" borderId="26" xfId="62" applyFont="1" applyBorder="1" applyAlignment="1">
      <alignment horizontal="center" vertical="center"/>
      <protection/>
    </xf>
    <xf numFmtId="0" fontId="43" fillId="0" borderId="47" xfId="62" applyFont="1" applyBorder="1" applyAlignment="1">
      <alignment horizontal="center" vertical="center"/>
      <protection/>
    </xf>
    <xf numFmtId="0" fontId="43" fillId="0" borderId="44" xfId="62" applyFont="1" applyBorder="1" applyAlignment="1">
      <alignment horizontal="center" vertical="center"/>
      <protection/>
    </xf>
    <xf numFmtId="0" fontId="43" fillId="0" borderId="45" xfId="62" applyFont="1" applyBorder="1" applyAlignment="1">
      <alignment horizontal="center" vertical="center"/>
      <protection/>
    </xf>
    <xf numFmtId="0" fontId="43" fillId="0" borderId="25" xfId="62" applyFont="1" applyBorder="1" applyAlignment="1">
      <alignment horizontal="center" vertical="center"/>
      <protection/>
    </xf>
    <xf numFmtId="0" fontId="43" fillId="0" borderId="46" xfId="62" applyFont="1" applyBorder="1" applyAlignment="1">
      <alignment horizontal="center" vertical="center"/>
      <protection/>
    </xf>
    <xf numFmtId="3" fontId="49" fillId="0" borderId="10" xfId="0" applyNumberFormat="1" applyFont="1" applyFill="1" applyBorder="1" applyAlignment="1">
      <alignment horizontal="center" vertical="center" wrapText="1"/>
    </xf>
    <xf numFmtId="169" fontId="4" fillId="0" borderId="10" xfId="0" applyNumberFormat="1" applyFont="1" applyBorder="1" applyAlignment="1">
      <alignment horizontal="center" vertical="center" wrapText="1"/>
    </xf>
    <xf numFmtId="49" fontId="22" fillId="0" borderId="12" xfId="62" applyNumberFormat="1" applyBorder="1" applyAlignment="1">
      <alignment horizontal="center"/>
      <protection/>
    </xf>
    <xf numFmtId="49" fontId="22" fillId="0" borderId="13" xfId="62" applyNumberFormat="1" applyBorder="1" applyAlignment="1">
      <alignment horizontal="center"/>
      <protection/>
    </xf>
    <xf numFmtId="49" fontId="22" fillId="0" borderId="27" xfId="62" applyNumberFormat="1" applyBorder="1" applyAlignment="1">
      <alignment horizontal="center"/>
      <protection/>
    </xf>
    <xf numFmtId="0" fontId="22" fillId="0" borderId="12" xfId="62" applyBorder="1" applyAlignment="1">
      <alignment horizontal="center"/>
      <protection/>
    </xf>
    <xf numFmtId="0" fontId="22" fillId="0" borderId="13" xfId="62" applyBorder="1" applyAlignment="1">
      <alignment horizontal="center"/>
      <protection/>
    </xf>
    <xf numFmtId="0" fontId="22" fillId="0" borderId="27" xfId="62" applyBorder="1" applyAlignment="1">
      <alignment horizontal="center"/>
      <protection/>
    </xf>
    <xf numFmtId="0" fontId="22" fillId="0" borderId="12" xfId="62" applyBorder="1" applyAlignment="1">
      <alignment horizontal="center" vertical="center" wrapText="1"/>
      <protection/>
    </xf>
    <xf numFmtId="0" fontId="22" fillId="0" borderId="13" xfId="62" applyBorder="1" applyAlignment="1">
      <alignment horizontal="center" vertical="center" wrapText="1"/>
      <protection/>
    </xf>
    <xf numFmtId="0" fontId="22" fillId="0" borderId="27" xfId="62" applyBorder="1" applyAlignment="1">
      <alignment horizontal="center" vertical="center" wrapText="1"/>
      <protection/>
    </xf>
    <xf numFmtId="0" fontId="22" fillId="0" borderId="26" xfId="62" applyBorder="1" applyAlignment="1">
      <alignment horizontal="center" vertical="center"/>
      <protection/>
    </xf>
    <xf numFmtId="0" fontId="22" fillId="0" borderId="47" xfId="62" applyBorder="1" applyAlignment="1">
      <alignment horizontal="center" vertical="center"/>
      <protection/>
    </xf>
    <xf numFmtId="0" fontId="22" fillId="0" borderId="44" xfId="62" applyBorder="1" applyAlignment="1">
      <alignment horizontal="center" vertical="center"/>
      <protection/>
    </xf>
    <xf numFmtId="0" fontId="22" fillId="0" borderId="45" xfId="62" applyBorder="1" applyAlignment="1">
      <alignment horizontal="center" vertical="center"/>
      <protection/>
    </xf>
    <xf numFmtId="0" fontId="22" fillId="0" borderId="25" xfId="62" applyBorder="1" applyAlignment="1">
      <alignment horizontal="center" vertical="center"/>
      <protection/>
    </xf>
    <xf numFmtId="0" fontId="22" fillId="0" borderId="46" xfId="62" applyBorder="1" applyAlignment="1">
      <alignment horizontal="center" vertical="center"/>
      <protection/>
    </xf>
    <xf numFmtId="0" fontId="5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7" borderId="12" xfId="0" applyFont="1" applyFill="1" applyBorder="1" applyAlignment="1">
      <alignment horizontal="left" vertical="center" wrapText="1"/>
    </xf>
    <xf numFmtId="0" fontId="5" fillId="7" borderId="27" xfId="0" applyFont="1" applyFill="1" applyBorder="1" applyAlignment="1">
      <alignment horizontal="left" vertical="center" wrapText="1"/>
    </xf>
    <xf numFmtId="3" fontId="0" fillId="7" borderId="12" xfId="0" applyNumberFormat="1" applyFill="1" applyBorder="1" applyAlignment="1">
      <alignment horizontal="center" vertical="center"/>
    </xf>
    <xf numFmtId="3" fontId="0" fillId="7" borderId="27" xfId="0" applyNumberFormat="1" applyFill="1" applyBorder="1" applyAlignment="1">
      <alignment horizontal="center" vertical="center"/>
    </xf>
    <xf numFmtId="169" fontId="5" fillId="7" borderId="12" xfId="0" applyNumberFormat="1" applyFont="1" applyFill="1" applyBorder="1" applyAlignment="1">
      <alignment horizontal="center" vertical="center" wrapText="1"/>
    </xf>
    <xf numFmtId="169" fontId="5" fillId="7" borderId="27" xfId="0" applyNumberFormat="1" applyFont="1" applyFill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1" fillId="7" borderId="10" xfId="0" applyFont="1" applyFill="1" applyBorder="1" applyAlignment="1">
      <alignment horizontal="center" vertical="center" wrapText="1"/>
    </xf>
    <xf numFmtId="2" fontId="22" fillId="26" borderId="12" xfId="62" applyNumberFormat="1" applyFont="1" applyFill="1" applyBorder="1" applyAlignment="1">
      <alignment horizontal="center" vertical="center" wrapText="1"/>
      <protection/>
    </xf>
    <xf numFmtId="2" fontId="22" fillId="26" borderId="13" xfId="62" applyNumberFormat="1" applyFont="1" applyFill="1" applyBorder="1" applyAlignment="1">
      <alignment horizontal="center" vertical="center" wrapText="1"/>
      <protection/>
    </xf>
    <xf numFmtId="2" fontId="22" fillId="26" borderId="27" xfId="62" applyNumberFormat="1" applyFont="1" applyFill="1" applyBorder="1" applyAlignment="1">
      <alignment horizontal="center" vertical="center" wrapText="1"/>
      <protection/>
    </xf>
    <xf numFmtId="2" fontId="22" fillId="26" borderId="12" xfId="62" applyNumberFormat="1" applyFill="1" applyBorder="1" applyAlignment="1">
      <alignment horizontal="center" vertical="center" wrapText="1"/>
      <protection/>
    </xf>
    <xf numFmtId="2" fontId="22" fillId="26" borderId="13" xfId="62" applyNumberFormat="1" applyFill="1" applyBorder="1" applyAlignment="1">
      <alignment horizontal="center" vertical="center" wrapText="1"/>
      <protection/>
    </xf>
    <xf numFmtId="2" fontId="22" fillId="26" borderId="27" xfId="62" applyNumberFormat="1" applyFill="1" applyBorder="1" applyAlignment="1">
      <alignment horizontal="center" vertical="center" wrapText="1"/>
      <protection/>
    </xf>
    <xf numFmtId="0" fontId="21" fillId="7" borderId="11" xfId="0" applyFont="1" applyFill="1" applyBorder="1" applyAlignment="1">
      <alignment horizontal="center" vertical="center" wrapText="1"/>
    </xf>
    <xf numFmtId="0" fontId="21" fillId="7" borderId="16" xfId="0" applyFont="1" applyFill="1" applyBorder="1" applyAlignment="1">
      <alignment horizontal="center" vertical="center" wrapText="1"/>
    </xf>
    <xf numFmtId="0" fontId="21" fillId="7" borderId="1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4" fontId="4" fillId="7" borderId="11" xfId="0" applyNumberFormat="1" applyFont="1" applyFill="1" applyBorder="1" applyAlignment="1">
      <alignment horizontal="center" vertical="center" wrapText="1"/>
    </xf>
    <xf numFmtId="4" fontId="4" fillId="7" borderId="15" xfId="0" applyNumberFormat="1" applyFont="1" applyFill="1" applyBorder="1" applyAlignment="1">
      <alignment horizontal="center" vertical="center" wrapText="1"/>
    </xf>
    <xf numFmtId="3" fontId="8" fillId="7" borderId="11" xfId="0" applyNumberFormat="1" applyFont="1" applyFill="1" applyBorder="1" applyAlignment="1">
      <alignment horizontal="center" vertical="center" wrapText="1"/>
    </xf>
    <xf numFmtId="3" fontId="8" fillId="7" borderId="16" xfId="0" applyNumberFormat="1" applyFont="1" applyFill="1" applyBorder="1" applyAlignment="1">
      <alignment horizontal="center" vertical="center" wrapText="1"/>
    </xf>
    <xf numFmtId="3" fontId="8" fillId="7" borderId="15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" fontId="4" fillId="7" borderId="10" xfId="0" applyNumberFormat="1" applyFont="1" applyFill="1" applyBorder="1" applyAlignment="1">
      <alignment horizontal="center" vertical="center" wrapText="1"/>
    </xf>
    <xf numFmtId="1" fontId="0" fillId="0" borderId="11" xfId="0" applyNumberFormat="1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0" fillId="0" borderId="10" xfId="0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68" fontId="4" fillId="7" borderId="11" xfId="0" applyNumberFormat="1" applyFont="1" applyFill="1" applyBorder="1" applyAlignment="1">
      <alignment horizontal="center" vertical="center"/>
    </xf>
    <xf numFmtId="168" fontId="4" fillId="7" borderId="15" xfId="0" applyNumberFormat="1" applyFont="1" applyFill="1" applyBorder="1" applyAlignment="1">
      <alignment horizontal="center" vertical="center"/>
    </xf>
    <xf numFmtId="0" fontId="4" fillId="7" borderId="11" xfId="0" applyFont="1" applyFill="1" applyBorder="1" applyAlignment="1">
      <alignment horizontal="center" vertical="center"/>
    </xf>
    <xf numFmtId="0" fontId="4" fillId="7" borderId="15" xfId="0" applyFont="1" applyFill="1" applyBorder="1" applyAlignment="1">
      <alignment horizontal="center" vertic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 2" xfId="54"/>
    <cellStyle name="Обычный_ИНДИКАТОРЫ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externalLink" Target="externalLinks/externalLink3.xml" /><Relationship Id="rId2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n.gershun\Local%20Settings\Temporary%20Internet%20Files\OLK1C\&#1041;&#1072;&#1081;&#1082;&#1072;&#1083;&#1100;&#1089;&#1082;%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econom\504\2%20-%20&#1054;&#1082;&#1089;&#1072;&#1085;&#1072;\1%20-&#1041;&#1072;&#1081;&#1082;&#1072;&#1083;&#1100;&#1089;&#1082;\2-%20&#1048;&#1058;&#1054;&#1043;&#1054;&#1042;&#1067;&#1049;%20&#1055;&#1051;&#1040;&#1053;\&#1044;&#1051;&#1071;%20&#1047;&#1040;&#1065;&#1048;&#1058;&#1067;\&#1048;&#1079;&#1084;&#1077;&#1085;&#1077;&#1085;&#1080;&#1103;%20&#1082;&#1080;&#1087;%2024.11.10\&#1055;&#1088;&#1080;&#1083;&#1086;&#1078;&#1077;&#1085;&#1080;&#1077;%2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n.gershun\Local%20Settings\Temporary%20Internet%20Files\OLK1C\&#1041;&#1072;&#1081;&#1082;&#1072;&#1083;&#1100;&#1089;&#1082;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анные по городу"/>
      <sheetName val="Градообр.организация"/>
      <sheetName val="Параметры бюджета"/>
      <sheetName val="Описательная информация"/>
      <sheetName val="Пояснения"/>
    </sheetNames>
    <sheetDataSet>
      <sheetData sheetId="0">
        <row r="32">
          <cell r="F32">
            <v>3750906</v>
          </cell>
        </row>
        <row r="36">
          <cell r="F36">
            <v>593500</v>
          </cell>
          <cell r="G36">
            <v>99689</v>
          </cell>
        </row>
      </sheetData>
      <sheetData sheetId="1">
        <row r="11">
          <cell r="E11">
            <v>3498572</v>
          </cell>
        </row>
      </sheetData>
      <sheetData sheetId="2">
        <row r="7">
          <cell r="C7">
            <v>51251.2</v>
          </cell>
        </row>
        <row r="8">
          <cell r="C8">
            <v>26911.6</v>
          </cell>
        </row>
        <row r="23">
          <cell r="C23">
            <v>362.2</v>
          </cell>
        </row>
        <row r="39">
          <cell r="C39">
            <v>860</v>
          </cell>
          <cell r="D39">
            <v>1806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- Байкальск"/>
      <sheetName val="ПАСПОРТ до 11"/>
      <sheetName val="ПАСПОРТ до 12"/>
      <sheetName val="ПАСПОРТ до 14"/>
      <sheetName val="ИНДИКАТОРЫ"/>
      <sheetName val="Цел пок вар 1"/>
      <sheetName val="Цел пок вар 2"/>
      <sheetName val="эффективность"/>
      <sheetName val="Сетевой график"/>
      <sheetName val="Баланс ТР "/>
      <sheetName val="проверка"/>
      <sheetName val="проверка паспортов"/>
      <sheetName val="расчет баланса"/>
      <sheetName val="Дотационность"/>
      <sheetName val="Инвестиции"/>
      <sheetName val="Выручки"/>
      <sheetName val="Занятость"/>
    </sheetNames>
    <sheetDataSet>
      <sheetData sheetId="0">
        <row r="6">
          <cell r="T6">
            <v>60.2</v>
          </cell>
        </row>
        <row r="7">
          <cell r="T7">
            <v>63.9</v>
          </cell>
          <cell r="W7">
            <v>1213.9309303703703</v>
          </cell>
        </row>
        <row r="8">
          <cell r="T8">
            <v>63.07</v>
          </cell>
          <cell r="W8">
            <v>1623.5642803703704</v>
          </cell>
        </row>
        <row r="9">
          <cell r="T9">
            <v>67.13</v>
          </cell>
          <cell r="W9">
            <v>3233.031247037037</v>
          </cell>
        </row>
        <row r="10">
          <cell r="T10">
            <v>60.94</v>
          </cell>
          <cell r="W10">
            <v>3700.3124870370366</v>
          </cell>
        </row>
      </sheetData>
      <sheetData sheetId="4">
        <row r="8">
          <cell r="F8">
            <v>2989.41947489661</v>
          </cell>
          <cell r="G8">
            <v>4486.026348548659</v>
          </cell>
          <cell r="H8">
            <v>5977.821544962926</v>
          </cell>
          <cell r="I8">
            <v>8400.785240228392</v>
          </cell>
          <cell r="J8">
            <v>9688.855844561182</v>
          </cell>
          <cell r="L8">
            <v>2843.6</v>
          </cell>
          <cell r="M8">
            <v>518.4</v>
          </cell>
        </row>
        <row r="12">
          <cell r="F12">
            <v>39.820440389723835</v>
          </cell>
          <cell r="G12">
            <v>27.809448787647224</v>
          </cell>
          <cell r="H12">
            <v>21.95467409872537</v>
          </cell>
          <cell r="I12">
            <v>16.403607054744036</v>
          </cell>
          <cell r="J12">
            <v>5.883047587295545</v>
          </cell>
          <cell r="L12">
            <v>83.69672246448164</v>
          </cell>
          <cell r="M12">
            <v>20.44753086419753</v>
          </cell>
        </row>
        <row r="18">
          <cell r="F18">
            <v>17978.4</v>
          </cell>
          <cell r="G18">
            <v>19776.24</v>
          </cell>
          <cell r="H18">
            <v>21852.7452</v>
          </cell>
          <cell r="I18">
            <v>24256.547172000002</v>
          </cell>
          <cell r="J18">
            <v>27167.332832640004</v>
          </cell>
          <cell r="L18">
            <v>16592</v>
          </cell>
          <cell r="M18">
            <v>16344</v>
          </cell>
        </row>
        <row r="22">
          <cell r="F22">
            <v>2.6345041498225505</v>
          </cell>
          <cell r="G22">
            <v>2.1105170571666</v>
          </cell>
          <cell r="H22">
            <v>2.0764466420301204</v>
          </cell>
          <cell r="I22">
            <v>2.6498908715766394</v>
          </cell>
          <cell r="J22">
            <v>2.9856692105198315</v>
          </cell>
          <cell r="L22">
            <v>5.21</v>
          </cell>
          <cell r="M22">
            <v>15.6</v>
          </cell>
        </row>
        <row r="24">
          <cell r="F24">
            <v>1830.1266666666666</v>
          </cell>
          <cell r="G24">
            <v>2195.1316666666667</v>
          </cell>
          <cell r="H24">
            <v>2673.6466666666665</v>
          </cell>
          <cell r="I24">
            <v>2815.7166666666667</v>
          </cell>
          <cell r="J24">
            <v>2984.1366666666668</v>
          </cell>
          <cell r="L24">
            <v>1085.28</v>
          </cell>
          <cell r="M24">
            <v>1280</v>
          </cell>
        </row>
        <row r="26">
          <cell r="F26">
            <v>53.78863972763214</v>
          </cell>
          <cell r="G26">
            <v>45.33444859059278</v>
          </cell>
          <cell r="H26">
            <v>39.303826083740496</v>
          </cell>
          <cell r="I26">
            <v>32.748974931924806</v>
          </cell>
          <cell r="J26">
            <v>18.562670997146018</v>
          </cell>
          <cell r="L26">
            <v>62.61785844054268</v>
          </cell>
          <cell r="M26">
            <v>81.81704946923716</v>
          </cell>
        </row>
      </sheetData>
      <sheetData sheetId="9">
        <row r="7">
          <cell r="D7">
            <v>9551</v>
          </cell>
          <cell r="E7">
            <v>9320</v>
          </cell>
          <cell r="F7">
            <v>9150</v>
          </cell>
          <cell r="G7">
            <v>9109.873674564735</v>
          </cell>
          <cell r="H7">
            <v>9097.296766592486</v>
          </cell>
          <cell r="I7">
            <v>9102.087969629532</v>
          </cell>
          <cell r="J7">
            <v>9136.22529126849</v>
          </cell>
          <cell r="K7">
            <v>9163.77470873151</v>
          </cell>
        </row>
        <row r="11">
          <cell r="D11">
            <v>2298</v>
          </cell>
          <cell r="E11">
            <v>2291</v>
          </cell>
          <cell r="F11">
            <v>885</v>
          </cell>
          <cell r="G11">
            <v>1279</v>
          </cell>
          <cell r="H11">
            <v>1265</v>
          </cell>
          <cell r="I11">
            <v>1251</v>
          </cell>
          <cell r="J11">
            <v>933.5</v>
          </cell>
          <cell r="K11">
            <v>570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Данные по городу"/>
      <sheetName val="Градообр.организация"/>
      <sheetName val="Параметры бюджета"/>
      <sheetName val="Описательная информация"/>
      <sheetName val="Пояснения"/>
    </sheetNames>
    <sheetDataSet>
      <sheetData sheetId="0">
        <row r="32">
          <cell r="F32">
            <v>3750906</v>
          </cell>
        </row>
        <row r="36">
          <cell r="F36">
            <v>593500</v>
          </cell>
          <cell r="G36">
            <v>99689</v>
          </cell>
        </row>
      </sheetData>
      <sheetData sheetId="1">
        <row r="11">
          <cell r="E11">
            <v>3498572</v>
          </cell>
        </row>
      </sheetData>
      <sheetData sheetId="2">
        <row r="7">
          <cell r="C7">
            <v>51251.2</v>
          </cell>
        </row>
        <row r="8">
          <cell r="C8">
            <v>26911.6</v>
          </cell>
        </row>
        <row r="23">
          <cell r="C23">
            <v>362.2</v>
          </cell>
        </row>
        <row r="39">
          <cell r="C39">
            <v>860</v>
          </cell>
          <cell r="D39">
            <v>1806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BW483"/>
  <sheetViews>
    <sheetView tabSelected="1" zoomScale="70" zoomScaleNormal="70" zoomScaleSheetLayoutView="70" zoomScalePageLayoutView="0" workbookViewId="0" topLeftCell="A1">
      <pane xSplit="8" ySplit="7" topLeftCell="O95" activePane="bottomRight" state="frozen"/>
      <selection pane="topLeft" activeCell="A1" sqref="A1"/>
      <selection pane="topRight" activeCell="I1" sqref="I1"/>
      <selection pane="bottomLeft" activeCell="A8" sqref="A8"/>
      <selection pane="bottomRight" activeCell="U103" sqref="U103"/>
    </sheetView>
  </sheetViews>
  <sheetFormatPr defaultColWidth="9.00390625" defaultRowHeight="12.75"/>
  <cols>
    <col min="1" max="1" width="6.625" style="504" customWidth="1"/>
    <col min="2" max="2" width="26.125" style="501" customWidth="1"/>
    <col min="3" max="3" width="25.625" style="505" customWidth="1"/>
    <col min="4" max="4" width="11.375" style="504" customWidth="1"/>
    <col min="5" max="5" width="12.25390625" style="531" customWidth="1"/>
    <col min="6" max="6" width="11.625" style="531" customWidth="1"/>
    <col min="7" max="7" width="10.25390625" style="504" customWidth="1"/>
    <col min="8" max="8" width="13.00390625" style="682" customWidth="1"/>
    <col min="9" max="9" width="12.375" style="531" customWidth="1"/>
    <col min="10" max="10" width="11.875" style="531" customWidth="1"/>
    <col min="11" max="11" width="9.625" style="504" customWidth="1"/>
    <col min="12" max="12" width="9.00390625" style="504" customWidth="1"/>
    <col min="13" max="13" width="10.875" style="504" customWidth="1"/>
    <col min="14" max="14" width="13.00390625" style="682" customWidth="1"/>
    <col min="15" max="15" width="9.00390625" style="504" customWidth="1"/>
    <col min="16" max="16" width="7.75390625" style="504" customWidth="1"/>
    <col min="17" max="17" width="10.25390625" style="504" customWidth="1"/>
    <col min="18" max="18" width="8.75390625" style="504" customWidth="1"/>
    <col min="19" max="19" width="10.375" style="505" customWidth="1"/>
    <col min="20" max="20" width="11.375" style="505" customWidth="1"/>
    <col min="21" max="21" width="10.125" style="505" customWidth="1"/>
    <col min="22" max="22" width="12.875" style="505" customWidth="1"/>
    <col min="23" max="23" width="11.375" style="723" customWidth="1"/>
    <col min="24" max="24" width="11.00390625" style="723" customWidth="1"/>
    <col min="25" max="26" width="11.25390625" style="728" customWidth="1"/>
    <col min="27" max="27" width="9.75390625" style="728" customWidth="1"/>
    <col min="28" max="28" width="8.625" style="728" customWidth="1"/>
    <col min="29" max="29" width="9.00390625" style="728" customWidth="1"/>
    <col min="30" max="30" width="11.125" style="695" customWidth="1"/>
    <col min="31" max="31" width="9.125" style="512" hidden="1" customWidth="1"/>
    <col min="32" max="32" width="10.75390625" style="512" hidden="1" customWidth="1"/>
    <col min="33" max="35" width="9.125" style="512" hidden="1" customWidth="1"/>
    <col min="36" max="36" width="8.00390625" style="512" hidden="1" customWidth="1"/>
    <col min="37" max="37" width="8.00390625" style="549" hidden="1" customWidth="1"/>
    <col min="38" max="38" width="8.00390625" style="512" hidden="1" customWidth="1"/>
    <col min="39" max="39" width="8.75390625" style="512" hidden="1" customWidth="1"/>
    <col min="40" max="40" width="11.00390625" style="512" hidden="1" customWidth="1"/>
    <col min="41" max="41" width="8.75390625" style="512" hidden="1" customWidth="1"/>
    <col min="42" max="44" width="8.875" style="511" hidden="1" customWidth="1"/>
    <col min="45" max="45" width="8.875" style="512" hidden="1" customWidth="1"/>
    <col min="46" max="46" width="12.125" style="511" hidden="1" customWidth="1"/>
    <col min="47" max="49" width="9.125" style="501" hidden="1" customWidth="1"/>
    <col min="50" max="50" width="13.875" style="501" hidden="1" customWidth="1"/>
    <col min="51" max="52" width="9.25390625" style="501" hidden="1" customWidth="1"/>
    <col min="53" max="53" width="9.125" style="501" hidden="1" customWidth="1"/>
    <col min="54" max="55" width="9.25390625" style="501" hidden="1" customWidth="1"/>
    <col min="56" max="56" width="9.125" style="501" hidden="1" customWidth="1"/>
    <col min="57" max="57" width="13.875" style="501" hidden="1" customWidth="1"/>
    <col min="58" max="58" width="9.125" style="501" hidden="1" customWidth="1"/>
    <col min="59" max="67" width="0" style="501" hidden="1" customWidth="1"/>
    <col min="68" max="16384" width="9.125" style="501" customWidth="1"/>
  </cols>
  <sheetData>
    <row r="1" spans="7:46" ht="21" customHeight="1">
      <c r="G1" s="506"/>
      <c r="K1" s="506"/>
      <c r="L1" s="506"/>
      <c r="M1" s="506"/>
      <c r="O1" s="506"/>
      <c r="P1" s="506"/>
      <c r="Q1" s="506"/>
      <c r="R1" s="506"/>
      <c r="S1" s="507"/>
      <c r="W1" s="796"/>
      <c r="X1" s="796"/>
      <c r="Y1" s="796"/>
      <c r="Z1" s="722"/>
      <c r="AA1" s="833" t="s">
        <v>399</v>
      </c>
      <c r="AB1" s="833"/>
      <c r="AC1" s="833"/>
      <c r="AE1" s="508"/>
      <c r="AF1" s="508"/>
      <c r="AG1" s="508"/>
      <c r="AH1" s="508"/>
      <c r="AI1" s="508"/>
      <c r="AJ1" s="508"/>
      <c r="AK1" s="508"/>
      <c r="AL1" s="508"/>
      <c r="AM1" s="508"/>
      <c r="AN1" s="508"/>
      <c r="AO1" s="508"/>
      <c r="AP1" s="509"/>
      <c r="AQ1" s="509"/>
      <c r="AR1" s="509"/>
      <c r="AS1" s="508"/>
      <c r="AT1" s="509"/>
    </row>
    <row r="2" spans="2:46" ht="76.5" customHeight="1">
      <c r="B2" s="835" t="s">
        <v>844</v>
      </c>
      <c r="C2" s="835"/>
      <c r="D2" s="835"/>
      <c r="E2" s="835"/>
      <c r="F2" s="835"/>
      <c r="G2" s="835"/>
      <c r="H2" s="835"/>
      <c r="I2" s="835"/>
      <c r="J2" s="835"/>
      <c r="K2" s="835"/>
      <c r="L2" s="835"/>
      <c r="M2" s="835"/>
      <c r="N2" s="835"/>
      <c r="O2" s="835"/>
      <c r="P2" s="835"/>
      <c r="Q2" s="835"/>
      <c r="R2" s="835"/>
      <c r="S2" s="835"/>
      <c r="T2" s="835"/>
      <c r="U2" s="835"/>
      <c r="V2" s="835"/>
      <c r="W2" s="835"/>
      <c r="X2" s="835"/>
      <c r="Y2" s="835"/>
      <c r="Z2" s="835"/>
      <c r="AA2" s="835"/>
      <c r="AB2" s="835"/>
      <c r="AC2" s="835"/>
      <c r="AE2" s="508"/>
      <c r="AF2" s="508"/>
      <c r="AG2" s="508"/>
      <c r="AH2" s="508"/>
      <c r="AI2" s="508"/>
      <c r="AJ2" s="508"/>
      <c r="AK2" s="508"/>
      <c r="AL2" s="508"/>
      <c r="AM2" s="508"/>
      <c r="AN2" s="508"/>
      <c r="AO2" s="508"/>
      <c r="AP2" s="509"/>
      <c r="AQ2" s="509"/>
      <c r="AR2" s="509"/>
      <c r="AS2" s="508"/>
      <c r="AT2" s="509"/>
    </row>
    <row r="3" spans="7:46" ht="12" customHeight="1">
      <c r="G3" s="510"/>
      <c r="K3" s="510"/>
      <c r="L3" s="510"/>
      <c r="M3" s="510"/>
      <c r="O3" s="510"/>
      <c r="P3" s="510"/>
      <c r="Q3" s="510"/>
      <c r="R3" s="510"/>
      <c r="Y3" s="797"/>
      <c r="Z3" s="797"/>
      <c r="AA3" s="797"/>
      <c r="AB3" s="797"/>
      <c r="AC3" s="797"/>
      <c r="AE3" s="508"/>
      <c r="AF3" s="508"/>
      <c r="AG3" s="508"/>
      <c r="AH3" s="508"/>
      <c r="AI3" s="508"/>
      <c r="AJ3" s="508"/>
      <c r="AK3" s="508"/>
      <c r="AL3" s="508"/>
      <c r="AM3" s="508"/>
      <c r="AN3" s="508"/>
      <c r="AO3" s="508"/>
      <c r="AP3" s="509"/>
      <c r="AQ3" s="509"/>
      <c r="AR3" s="509"/>
      <c r="AS3" s="508"/>
      <c r="AT3" s="509"/>
    </row>
    <row r="4" spans="1:46" s="553" customFormat="1" ht="46.5" customHeight="1">
      <c r="A4" s="736" t="s">
        <v>377</v>
      </c>
      <c r="B4" s="736" t="s">
        <v>4</v>
      </c>
      <c r="C4" s="736" t="s">
        <v>5</v>
      </c>
      <c r="D4" s="736" t="s">
        <v>372</v>
      </c>
      <c r="E4" s="740" t="s">
        <v>385</v>
      </c>
      <c r="F4" s="750"/>
      <c r="G4" s="750"/>
      <c r="H4" s="750"/>
      <c r="I4" s="750"/>
      <c r="J4" s="750"/>
      <c r="K4" s="750"/>
      <c r="L4" s="750"/>
      <c r="M4" s="750"/>
      <c r="N4" s="750"/>
      <c r="O4" s="750"/>
      <c r="P4" s="750"/>
      <c r="Q4" s="750"/>
      <c r="R4" s="741"/>
      <c r="S4" s="736" t="s">
        <v>270</v>
      </c>
      <c r="T4" s="736" t="s">
        <v>847</v>
      </c>
      <c r="U4" s="751" t="s">
        <v>619</v>
      </c>
      <c r="V4" s="752"/>
      <c r="W4" s="757" t="s">
        <v>632</v>
      </c>
      <c r="X4" s="757"/>
      <c r="Y4" s="757"/>
      <c r="Z4" s="757"/>
      <c r="AA4" s="757"/>
      <c r="AB4" s="757"/>
      <c r="AC4" s="757"/>
      <c r="AD4" s="758"/>
      <c r="AE4" s="853" t="s">
        <v>287</v>
      </c>
      <c r="AF4" s="853"/>
      <c r="AG4" s="853"/>
      <c r="AH4" s="850" t="s">
        <v>288</v>
      </c>
      <c r="AI4" s="852"/>
      <c r="AJ4" s="850" t="s">
        <v>289</v>
      </c>
      <c r="AK4" s="851"/>
      <c r="AL4" s="852"/>
      <c r="AM4" s="596" t="s">
        <v>290</v>
      </c>
      <c r="AN4" s="596"/>
      <c r="AO4" s="596"/>
      <c r="AP4" s="597" t="s">
        <v>325</v>
      </c>
      <c r="AQ4" s="597"/>
      <c r="AR4" s="597"/>
      <c r="AS4" s="596"/>
      <c r="AT4" s="552" t="s">
        <v>326</v>
      </c>
    </row>
    <row r="5" spans="1:57" s="553" customFormat="1" ht="96" customHeight="1">
      <c r="A5" s="737"/>
      <c r="B5" s="737"/>
      <c r="C5" s="737"/>
      <c r="D5" s="737"/>
      <c r="E5" s="740" t="s">
        <v>386</v>
      </c>
      <c r="F5" s="741"/>
      <c r="G5" s="740" t="s">
        <v>376</v>
      </c>
      <c r="H5" s="741"/>
      <c r="I5" s="740" t="s">
        <v>375</v>
      </c>
      <c r="J5" s="741"/>
      <c r="K5" s="740" t="s">
        <v>373</v>
      </c>
      <c r="L5" s="741"/>
      <c r="M5" s="749" t="s">
        <v>364</v>
      </c>
      <c r="N5" s="741"/>
      <c r="O5" s="749" t="s">
        <v>271</v>
      </c>
      <c r="P5" s="741"/>
      <c r="Q5" s="749" t="s">
        <v>383</v>
      </c>
      <c r="R5" s="741"/>
      <c r="S5" s="737"/>
      <c r="T5" s="737"/>
      <c r="U5" s="753"/>
      <c r="V5" s="754"/>
      <c r="W5" s="755" t="s">
        <v>388</v>
      </c>
      <c r="X5" s="756"/>
      <c r="Y5" s="755" t="s">
        <v>389</v>
      </c>
      <c r="Z5" s="756"/>
      <c r="AA5" s="755" t="s">
        <v>390</v>
      </c>
      <c r="AB5" s="756"/>
      <c r="AC5" s="759" t="s">
        <v>391</v>
      </c>
      <c r="AD5" s="760"/>
      <c r="AE5" s="598" t="s">
        <v>388</v>
      </c>
      <c r="AF5" s="598" t="s">
        <v>285</v>
      </c>
      <c r="AG5" s="598" t="s">
        <v>286</v>
      </c>
      <c r="AH5" s="598" t="s">
        <v>285</v>
      </c>
      <c r="AI5" s="598" t="s">
        <v>286</v>
      </c>
      <c r="AJ5" s="598">
        <v>2013</v>
      </c>
      <c r="AK5" s="599">
        <v>2014</v>
      </c>
      <c r="AL5" s="598">
        <v>2015</v>
      </c>
      <c r="AM5" s="598"/>
      <c r="AN5" s="598"/>
      <c r="AO5" s="600">
        <v>0.12</v>
      </c>
      <c r="AP5" s="600"/>
      <c r="AQ5" s="601" t="s">
        <v>92</v>
      </c>
      <c r="AR5" s="600" t="s">
        <v>93</v>
      </c>
      <c r="AS5" s="600">
        <v>0.18</v>
      </c>
      <c r="AT5" s="600" t="s">
        <v>91</v>
      </c>
      <c r="BE5" s="553" t="s">
        <v>478</v>
      </c>
    </row>
    <row r="6" spans="1:71" s="553" customFormat="1" ht="61.5" customHeight="1">
      <c r="A6" s="738"/>
      <c r="B6" s="739"/>
      <c r="C6" s="739"/>
      <c r="D6" s="738"/>
      <c r="E6" s="648" t="s">
        <v>795</v>
      </c>
      <c r="F6" s="648" t="s">
        <v>796</v>
      </c>
      <c r="G6" s="602" t="s">
        <v>795</v>
      </c>
      <c r="H6" s="683" t="s">
        <v>796</v>
      </c>
      <c r="I6" s="648" t="s">
        <v>795</v>
      </c>
      <c r="J6" s="648" t="s">
        <v>796</v>
      </c>
      <c r="K6" s="602" t="s">
        <v>795</v>
      </c>
      <c r="L6" s="602" t="s">
        <v>796</v>
      </c>
      <c r="M6" s="602" t="s">
        <v>795</v>
      </c>
      <c r="N6" s="683" t="s">
        <v>796</v>
      </c>
      <c r="O6" s="602" t="s">
        <v>795</v>
      </c>
      <c r="P6" s="602" t="s">
        <v>796</v>
      </c>
      <c r="Q6" s="602" t="s">
        <v>795</v>
      </c>
      <c r="R6" s="602" t="s">
        <v>796</v>
      </c>
      <c r="S6" s="738"/>
      <c r="T6" s="761"/>
      <c r="U6" s="602" t="s">
        <v>795</v>
      </c>
      <c r="V6" s="602" t="s">
        <v>796</v>
      </c>
      <c r="W6" s="648" t="s">
        <v>795</v>
      </c>
      <c r="X6" s="648" t="s">
        <v>796</v>
      </c>
      <c r="Y6" s="648" t="s">
        <v>795</v>
      </c>
      <c r="Z6" s="648" t="s">
        <v>796</v>
      </c>
      <c r="AA6" s="648" t="s">
        <v>795</v>
      </c>
      <c r="AB6" s="648" t="s">
        <v>796</v>
      </c>
      <c r="AC6" s="724" t="s">
        <v>795</v>
      </c>
      <c r="AD6" s="683" t="s">
        <v>796</v>
      </c>
      <c r="AE6" s="603" t="s">
        <v>796</v>
      </c>
      <c r="AF6" s="604"/>
      <c r="AG6" s="605"/>
      <c r="AH6" s="604"/>
      <c r="AI6" s="604"/>
      <c r="AJ6" s="604"/>
      <c r="AK6" s="606"/>
      <c r="AL6" s="606"/>
      <c r="AM6" s="606"/>
      <c r="AN6" s="604"/>
      <c r="AO6" s="604"/>
      <c r="AP6" s="604"/>
      <c r="AQ6" s="607"/>
      <c r="AR6" s="607"/>
      <c r="AS6" s="607"/>
      <c r="AT6" s="604"/>
      <c r="AU6" s="607"/>
      <c r="AV6" s="608"/>
      <c r="AW6" s="608"/>
      <c r="AX6" s="608"/>
      <c r="AY6" s="608"/>
      <c r="AZ6" s="608"/>
      <c r="BA6" s="608"/>
      <c r="BB6" s="608"/>
      <c r="BC6" s="608"/>
      <c r="BD6" s="608"/>
      <c r="BE6" s="608"/>
      <c r="BF6" s="608"/>
      <c r="BG6" s="608"/>
      <c r="BH6" s="608"/>
      <c r="BI6" s="608"/>
      <c r="BJ6" s="608"/>
      <c r="BK6" s="608"/>
      <c r="BL6" s="608"/>
      <c r="BM6" s="608"/>
      <c r="BN6" s="608"/>
      <c r="BO6" s="608"/>
      <c r="BP6" s="608"/>
      <c r="BQ6" s="608"/>
      <c r="BR6" s="608"/>
      <c r="BS6" s="609"/>
    </row>
    <row r="7" spans="1:57" s="553" customFormat="1" ht="47.25" customHeight="1">
      <c r="A7" s="810"/>
      <c r="B7" s="811" t="s">
        <v>435</v>
      </c>
      <c r="C7" s="812"/>
      <c r="D7" s="630" t="s">
        <v>273</v>
      </c>
      <c r="E7" s="649">
        <f>SUM(E8:E10)</f>
        <v>23386.7742</v>
      </c>
      <c r="F7" s="649">
        <f>SUM(F8:F10)</f>
        <v>5581.66662</v>
      </c>
      <c r="G7" s="610">
        <f>SUM(G8:G10)</f>
        <v>10090.221300000001</v>
      </c>
      <c r="H7" s="684">
        <f>H8+H9+H10</f>
        <v>3503.4777</v>
      </c>
      <c r="I7" s="649">
        <f>SUM(I8:I10)</f>
        <v>2839.7498</v>
      </c>
      <c r="J7" s="649">
        <f aca="true" t="shared" si="0" ref="J7:P7">SUM(J8:J10)</f>
        <v>1108.578</v>
      </c>
      <c r="K7" s="610">
        <f>SUM(K8:K10)</f>
        <v>382.8081</v>
      </c>
      <c r="L7" s="610">
        <f t="shared" si="0"/>
        <v>62.78466</v>
      </c>
      <c r="M7" s="610">
        <f>SUM(M8:M10)</f>
        <v>8667.873</v>
      </c>
      <c r="N7" s="684">
        <f t="shared" si="0"/>
        <v>551.1317200000001</v>
      </c>
      <c r="O7" s="610">
        <f>SUM(O8:O10)</f>
        <v>1290.6219999999998</v>
      </c>
      <c r="P7" s="610">
        <f t="shared" si="0"/>
        <v>56.900000000000006</v>
      </c>
      <c r="Q7" s="610">
        <f>SUM(Q8:Q10)</f>
        <v>115.5</v>
      </c>
      <c r="R7" s="610">
        <f>SUM(R8:R10)</f>
        <v>298.82</v>
      </c>
      <c r="S7" s="789"/>
      <c r="T7" s="789"/>
      <c r="U7" s="562">
        <f>SUM(U8:U10)</f>
        <v>7515</v>
      </c>
      <c r="V7" s="562"/>
      <c r="W7" s="649">
        <f>W8+W9+W10</f>
        <v>2746.4443155836093</v>
      </c>
      <c r="X7" s="649">
        <f aca="true" t="shared" si="1" ref="X7:AD7">SUM(X8:X10)</f>
        <v>662.1795000000001</v>
      </c>
      <c r="Y7" s="649">
        <f t="shared" si="1"/>
        <v>2532.98934496</v>
      </c>
      <c r="Z7" s="649">
        <f t="shared" si="1"/>
        <v>408.031</v>
      </c>
      <c r="AA7" s="649">
        <f t="shared" si="1"/>
        <v>115.7139763886774</v>
      </c>
      <c r="AB7" s="649">
        <f t="shared" si="1"/>
        <v>20.3342</v>
      </c>
      <c r="AC7" s="649">
        <f t="shared" si="1"/>
        <v>97.74103507281998</v>
      </c>
      <c r="AD7" s="684">
        <f t="shared" si="1"/>
        <v>29.782200000000003</v>
      </c>
      <c r="AE7" s="554"/>
      <c r="AF7" s="562">
        <f>SUM(AF8:AF10)</f>
        <v>2484</v>
      </c>
      <c r="AG7" s="562">
        <f>SUM(AG8:AG10)</f>
        <v>3277</v>
      </c>
      <c r="AH7" s="554"/>
      <c r="AI7" s="554"/>
      <c r="AJ7" s="555">
        <v>106.23302983559877</v>
      </c>
      <c r="AK7" s="556">
        <v>105.1948604625895</v>
      </c>
      <c r="AL7" s="555">
        <v>104.86113485125321</v>
      </c>
      <c r="AM7" s="554">
        <v>12</v>
      </c>
      <c r="AN7" s="554">
        <v>1000000</v>
      </c>
      <c r="AO7" s="554">
        <v>0.12</v>
      </c>
      <c r="AP7" s="552"/>
      <c r="AQ7" s="552"/>
      <c r="AR7" s="552"/>
      <c r="AS7" s="554">
        <v>0.18</v>
      </c>
      <c r="AT7" s="552"/>
      <c r="AV7" s="553" t="s">
        <v>668</v>
      </c>
      <c r="AX7" s="611">
        <f>E7-AX12</f>
        <v>23210.2511</v>
      </c>
      <c r="AY7" s="612">
        <f>G7-AY12</f>
        <v>9964.4086</v>
      </c>
      <c r="AZ7" s="612">
        <f>I7-AZ12</f>
        <v>2825.3345</v>
      </c>
      <c r="BA7" s="612">
        <f>K7-BA12</f>
        <v>373.468</v>
      </c>
      <c r="BB7" s="612">
        <f>M7-BB12</f>
        <v>8640.918</v>
      </c>
      <c r="BC7" s="612">
        <f>O7-BC12</f>
        <v>1290.6219999999998</v>
      </c>
      <c r="BD7" s="612">
        <f>Q7-BD12</f>
        <v>115.5</v>
      </c>
      <c r="BE7" s="613">
        <f>SUM(BB7:BD7)</f>
        <v>10047.039999999999</v>
      </c>
    </row>
    <row r="8" spans="1:59" s="553" customFormat="1" ht="78.75" customHeight="1">
      <c r="A8" s="810"/>
      <c r="B8" s="813"/>
      <c r="C8" s="814"/>
      <c r="D8" s="621">
        <v>2013</v>
      </c>
      <c r="E8" s="649">
        <f>G8+I8+K8+M8+O8+Q8</f>
        <v>6190.7816</v>
      </c>
      <c r="F8" s="649">
        <f>F14+F131</f>
        <v>2165.94779</v>
      </c>
      <c r="G8" s="610">
        <f aca="true" t="shared" si="2" ref="G8:Q10">G131+G14</f>
        <v>1497.1243</v>
      </c>
      <c r="H8" s="684">
        <f>H14+H131</f>
        <v>1036.8649</v>
      </c>
      <c r="I8" s="649">
        <f t="shared" si="2"/>
        <v>1188.4712</v>
      </c>
      <c r="J8" s="649">
        <f>J14+J131</f>
        <v>767.044</v>
      </c>
      <c r="K8" s="610">
        <f t="shared" si="2"/>
        <v>45.6301</v>
      </c>
      <c r="L8" s="610">
        <f>L14+L131</f>
        <v>15.90783</v>
      </c>
      <c r="M8" s="610">
        <f t="shared" si="2"/>
        <v>2637.3340000000003</v>
      </c>
      <c r="N8" s="684">
        <f>N14+N131</f>
        <v>280.5</v>
      </c>
      <c r="O8" s="610">
        <f t="shared" si="2"/>
        <v>783.722</v>
      </c>
      <c r="P8" s="610">
        <f>P14+P131</f>
        <v>21.6</v>
      </c>
      <c r="Q8" s="610">
        <f t="shared" si="2"/>
        <v>38.5</v>
      </c>
      <c r="R8" s="610">
        <f>R14+R131</f>
        <v>44.02</v>
      </c>
      <c r="S8" s="789"/>
      <c r="T8" s="789"/>
      <c r="U8" s="562">
        <f>U131+U14</f>
        <v>1413</v>
      </c>
      <c r="V8" s="562" t="s">
        <v>811</v>
      </c>
      <c r="W8" s="649">
        <v>717.1722</v>
      </c>
      <c r="X8" s="649">
        <f>X14+X131</f>
        <v>52.2145</v>
      </c>
      <c r="Y8" s="649">
        <v>667.4</v>
      </c>
      <c r="Z8" s="649">
        <f>Z14+Z131</f>
        <v>24.068</v>
      </c>
      <c r="AA8" s="649">
        <f aca="true" t="shared" si="3" ref="Y8:AC10">AA131+AA14</f>
        <v>26.981531758219063</v>
      </c>
      <c r="AB8" s="649">
        <f>AB14+AB131</f>
        <v>7.5512</v>
      </c>
      <c r="AC8" s="649">
        <f t="shared" si="3"/>
        <v>22.790709079668897</v>
      </c>
      <c r="AD8" s="684">
        <f>AD14+AD131</f>
        <v>20.0153</v>
      </c>
      <c r="AE8" s="562">
        <f>AF8/AF7*100</f>
        <v>38.32528180354267</v>
      </c>
      <c r="AF8" s="562">
        <f aca="true" t="shared" si="4" ref="AF8:AG10">AF131+AF14</f>
        <v>952</v>
      </c>
      <c r="AG8" s="562">
        <f t="shared" si="4"/>
        <v>461</v>
      </c>
      <c r="AH8" s="554"/>
      <c r="AI8" s="554"/>
      <c r="AJ8" s="555">
        <v>106.23302983559877</v>
      </c>
      <c r="AK8" s="556">
        <v>105.1948604625895</v>
      </c>
      <c r="AL8" s="555">
        <v>104.86113485125321</v>
      </c>
      <c r="AM8" s="554">
        <v>12</v>
      </c>
      <c r="AN8" s="554">
        <v>1000000</v>
      </c>
      <c r="AO8" s="554">
        <v>0.12</v>
      </c>
      <c r="AP8" s="552"/>
      <c r="AQ8" s="552"/>
      <c r="AR8" s="552"/>
      <c r="AS8" s="554">
        <v>0.18</v>
      </c>
      <c r="AT8" s="552"/>
      <c r="AV8" s="553">
        <v>2013</v>
      </c>
      <c r="AX8" s="611">
        <f>E8-AX13</f>
        <v>6065.2371</v>
      </c>
      <c r="AY8" s="612">
        <f>G8-AY13</f>
        <v>1412.7916</v>
      </c>
      <c r="AZ8" s="612">
        <f>I8-AZ13</f>
        <v>1176.0145</v>
      </c>
      <c r="BA8" s="612">
        <f>K8-BA13</f>
        <v>36.351</v>
      </c>
      <c r="BB8" s="612">
        <f>M8-BB13</f>
        <v>2617.858</v>
      </c>
      <c r="BC8" s="612">
        <f>O8-BC13</f>
        <v>783.722</v>
      </c>
      <c r="BD8" s="612">
        <f>Q8-BD13</f>
        <v>38.5</v>
      </c>
      <c r="BE8" s="613">
        <f>SUM(BB8:BD8)</f>
        <v>3440.08</v>
      </c>
      <c r="BG8" s="557"/>
    </row>
    <row r="9" spans="1:57" s="553" customFormat="1" ht="60" customHeight="1">
      <c r="A9" s="810"/>
      <c r="B9" s="813"/>
      <c r="C9" s="814"/>
      <c r="D9" s="621">
        <v>2014</v>
      </c>
      <c r="E9" s="649">
        <f>G9+I9+K9+M9+O9+Q9</f>
        <v>9524.0753</v>
      </c>
      <c r="F9" s="649">
        <f>F15+F132</f>
        <v>2050.96413</v>
      </c>
      <c r="G9" s="610">
        <f t="shared" si="2"/>
        <v>4582.613</v>
      </c>
      <c r="H9" s="684">
        <f>H15+H132</f>
        <v>1538.1760000000002</v>
      </c>
      <c r="I9" s="649">
        <f t="shared" si="2"/>
        <v>1445.3386</v>
      </c>
      <c r="J9" s="649">
        <f>J15+J132</f>
        <v>188.87</v>
      </c>
      <c r="K9" s="610">
        <f t="shared" si="2"/>
        <v>276.4287</v>
      </c>
      <c r="L9" s="614">
        <f>L15+L132</f>
        <v>23.68283</v>
      </c>
      <c r="M9" s="610">
        <f t="shared" si="2"/>
        <v>3102.6949999999997</v>
      </c>
      <c r="N9" s="684">
        <f>N15+N132</f>
        <v>150.797</v>
      </c>
      <c r="O9" s="610">
        <f t="shared" si="2"/>
        <v>78.5</v>
      </c>
      <c r="P9" s="614">
        <f>P15+P132</f>
        <v>29.3</v>
      </c>
      <c r="Q9" s="610">
        <f t="shared" si="2"/>
        <v>38.5</v>
      </c>
      <c r="R9" s="614">
        <f>R15+R132</f>
        <v>120.1</v>
      </c>
      <c r="S9" s="789"/>
      <c r="T9" s="789"/>
      <c r="U9" s="562">
        <f>U132+U15</f>
        <v>2817</v>
      </c>
      <c r="V9" s="614" t="s">
        <v>818</v>
      </c>
      <c r="W9" s="732">
        <f>Y9+AA9+AC9</f>
        <v>1147.03690431635</v>
      </c>
      <c r="X9" s="732">
        <f>X15+X132</f>
        <v>369.51400000000007</v>
      </c>
      <c r="Y9" s="732">
        <f>Y15+Y132</f>
        <v>1028.7714204</v>
      </c>
      <c r="Z9" s="649">
        <f>Z15+Z132</f>
        <v>351.838</v>
      </c>
      <c r="AA9" s="649">
        <f t="shared" si="3"/>
        <v>64.11171883105347</v>
      </c>
      <c r="AB9" s="649">
        <f>AB15+AB132</f>
        <v>10.23</v>
      </c>
      <c r="AC9" s="649">
        <f t="shared" si="3"/>
        <v>54.15376508529677</v>
      </c>
      <c r="AD9" s="684">
        <f>AD15+AD132</f>
        <v>7.949</v>
      </c>
      <c r="AE9" s="562">
        <f>AF9/AF7*100</f>
        <v>34.13848631239936</v>
      </c>
      <c r="AF9" s="562">
        <f t="shared" si="4"/>
        <v>848</v>
      </c>
      <c r="AG9" s="562">
        <f t="shared" si="4"/>
        <v>1961</v>
      </c>
      <c r="AH9" s="554"/>
      <c r="AI9" s="554"/>
      <c r="AJ9" s="555">
        <v>106.23302983559877</v>
      </c>
      <c r="AK9" s="556">
        <v>105.1948604625895</v>
      </c>
      <c r="AL9" s="555">
        <v>104.86113485125321</v>
      </c>
      <c r="AM9" s="554">
        <v>12</v>
      </c>
      <c r="AN9" s="554">
        <v>1000000</v>
      </c>
      <c r="AO9" s="554">
        <v>0.12</v>
      </c>
      <c r="AP9" s="552"/>
      <c r="AQ9" s="552"/>
      <c r="AR9" s="552"/>
      <c r="AS9" s="554">
        <v>0.18</v>
      </c>
      <c r="AT9" s="552"/>
      <c r="AV9" s="553">
        <v>2014</v>
      </c>
      <c r="AX9" s="611">
        <f>E9-AX14</f>
        <v>9497.163</v>
      </c>
      <c r="AY9" s="612">
        <f>G9-AY14</f>
        <v>4561.3730000000005</v>
      </c>
      <c r="AZ9" s="612">
        <f>I9-AZ14</f>
        <v>1443.44</v>
      </c>
      <c r="BA9" s="612">
        <f>K9-BA14</f>
        <v>276.39</v>
      </c>
      <c r="BB9" s="612">
        <f>M9-BB14</f>
        <v>3098.9599999999996</v>
      </c>
      <c r="BC9" s="612">
        <f>O9-BC14</f>
        <v>78.5</v>
      </c>
      <c r="BD9" s="612">
        <f>Q9-BD14</f>
        <v>38.5</v>
      </c>
      <c r="BE9" s="613">
        <f>SUM(BB9:BD9)</f>
        <v>3215.9599999999996</v>
      </c>
    </row>
    <row r="10" spans="1:57" s="627" customFormat="1" ht="62.25" customHeight="1">
      <c r="A10" s="810"/>
      <c r="B10" s="815"/>
      <c r="C10" s="816"/>
      <c r="D10" s="631">
        <v>2015</v>
      </c>
      <c r="E10" s="649">
        <f>G10+I10+K10+M10+O10+Q10</f>
        <v>7671.9173</v>
      </c>
      <c r="F10" s="649">
        <f>F16+F133</f>
        <v>1364.7546999999997</v>
      </c>
      <c r="G10" s="623">
        <f t="shared" si="2"/>
        <v>4010.4840000000004</v>
      </c>
      <c r="H10" s="684">
        <f>H16+H133</f>
        <v>928.4368</v>
      </c>
      <c r="I10" s="649">
        <f>I133+I16</f>
        <v>205.94</v>
      </c>
      <c r="J10" s="649">
        <f>J16+J133</f>
        <v>152.66400000000002</v>
      </c>
      <c r="K10" s="623">
        <f t="shared" si="2"/>
        <v>60.7493</v>
      </c>
      <c r="L10" s="623">
        <f>L16+L133</f>
        <v>23.194000000000003</v>
      </c>
      <c r="M10" s="623">
        <f t="shared" si="2"/>
        <v>2927.844</v>
      </c>
      <c r="N10" s="684">
        <f>N16+N133</f>
        <v>119.83472</v>
      </c>
      <c r="O10" s="623">
        <f t="shared" si="2"/>
        <v>428.4</v>
      </c>
      <c r="P10" s="623">
        <f>P16+P133</f>
        <v>6</v>
      </c>
      <c r="Q10" s="623">
        <f t="shared" si="2"/>
        <v>38.5</v>
      </c>
      <c r="R10" s="623">
        <f>R16+R133</f>
        <v>134.7</v>
      </c>
      <c r="S10" s="789"/>
      <c r="T10" s="789"/>
      <c r="U10" s="623">
        <f>U133+U16</f>
        <v>3285</v>
      </c>
      <c r="V10" s="623" t="s">
        <v>843</v>
      </c>
      <c r="W10" s="649">
        <f>Y10+AA10+AC10</f>
        <v>882.2352112672592</v>
      </c>
      <c r="X10" s="649">
        <f>X16+X133</f>
        <v>240.451</v>
      </c>
      <c r="Y10" s="649">
        <f t="shared" si="3"/>
        <v>836.8179245599999</v>
      </c>
      <c r="Z10" s="649">
        <f>Z16+Z133</f>
        <v>32.125</v>
      </c>
      <c r="AA10" s="649">
        <f t="shared" si="3"/>
        <v>24.620725799404866</v>
      </c>
      <c r="AB10" s="649">
        <f>AB16+AB133</f>
        <v>2.553</v>
      </c>
      <c r="AC10" s="649">
        <f t="shared" si="3"/>
        <v>20.79656090785431</v>
      </c>
      <c r="AD10" s="720">
        <f>AD16+AD133</f>
        <v>1.8179</v>
      </c>
      <c r="AE10" s="623">
        <f>AF10/AF7*100</f>
        <v>27.536231884057973</v>
      </c>
      <c r="AF10" s="623">
        <f t="shared" si="4"/>
        <v>684</v>
      </c>
      <c r="AG10" s="623">
        <f t="shared" si="4"/>
        <v>855</v>
      </c>
      <c r="AH10" s="624"/>
      <c r="AI10" s="624"/>
      <c r="AJ10" s="624">
        <v>106.23302983559877</v>
      </c>
      <c r="AK10" s="625">
        <v>105.1948604625895</v>
      </c>
      <c r="AL10" s="624">
        <v>104.86113485125321</v>
      </c>
      <c r="AM10" s="624">
        <v>12</v>
      </c>
      <c r="AN10" s="624">
        <v>1000000</v>
      </c>
      <c r="AO10" s="624">
        <v>0.12</v>
      </c>
      <c r="AP10" s="626"/>
      <c r="AQ10" s="626"/>
      <c r="AR10" s="626"/>
      <c r="AS10" s="624">
        <v>0.18</v>
      </c>
      <c r="AT10" s="626"/>
      <c r="AV10" s="627">
        <v>2015</v>
      </c>
      <c r="AX10" s="628">
        <f>E10-AX15</f>
        <v>7585.62</v>
      </c>
      <c r="AY10" s="627">
        <f>G10-AY15</f>
        <v>3990.2440000000006</v>
      </c>
      <c r="AZ10" s="627">
        <f>I10-AZ15</f>
        <v>205.88</v>
      </c>
      <c r="BA10" s="627">
        <f>K10-BA15</f>
        <v>60.721</v>
      </c>
      <c r="BB10" s="627">
        <f>M10-BB15</f>
        <v>2924.1</v>
      </c>
      <c r="BC10" s="627">
        <f>O10-BC15</f>
        <v>428.4</v>
      </c>
      <c r="BD10" s="627">
        <f>Q10-BD15</f>
        <v>38.5</v>
      </c>
      <c r="BE10" s="629">
        <f>SUM(BB10:BD10)</f>
        <v>3391</v>
      </c>
    </row>
    <row r="11" spans="1:57" s="553" customFormat="1" ht="18" customHeight="1">
      <c r="A11" s="808" t="s">
        <v>380</v>
      </c>
      <c r="B11" s="809"/>
      <c r="C11" s="809"/>
      <c r="D11" s="808"/>
      <c r="E11" s="808"/>
      <c r="F11" s="808"/>
      <c r="G11" s="808"/>
      <c r="H11" s="808"/>
      <c r="I11" s="808"/>
      <c r="J11" s="808"/>
      <c r="K11" s="808"/>
      <c r="L11" s="808"/>
      <c r="M11" s="808"/>
      <c r="N11" s="808"/>
      <c r="O11" s="808"/>
      <c r="P11" s="808"/>
      <c r="Q11" s="808"/>
      <c r="R11" s="808"/>
      <c r="S11" s="808"/>
      <c r="T11" s="808"/>
      <c r="U11" s="808"/>
      <c r="V11" s="808"/>
      <c r="W11" s="808"/>
      <c r="X11" s="808"/>
      <c r="Y11" s="808"/>
      <c r="Z11" s="808"/>
      <c r="AA11" s="808"/>
      <c r="AB11" s="808"/>
      <c r="AC11" s="808"/>
      <c r="AD11" s="696"/>
      <c r="AE11" s="554"/>
      <c r="AF11" s="554"/>
      <c r="AG11" s="554"/>
      <c r="AH11" s="554"/>
      <c r="AI11" s="554"/>
      <c r="AJ11" s="555">
        <v>106.23302983559877</v>
      </c>
      <c r="AK11" s="556">
        <v>105.1948604625895</v>
      </c>
      <c r="AL11" s="555">
        <v>104.86113485125321</v>
      </c>
      <c r="AM11" s="554">
        <v>12</v>
      </c>
      <c r="AN11" s="554">
        <v>1000000</v>
      </c>
      <c r="AO11" s="554">
        <v>0.12</v>
      </c>
      <c r="AP11" s="552"/>
      <c r="AQ11" s="552"/>
      <c r="AR11" s="552"/>
      <c r="AS11" s="554">
        <v>0.18</v>
      </c>
      <c r="AT11" s="552"/>
      <c r="BE11" s="613"/>
    </row>
    <row r="12" spans="1:57" s="553" customFormat="1" ht="18.75" customHeight="1">
      <c r="A12" s="804" t="s">
        <v>366</v>
      </c>
      <c r="B12" s="804"/>
      <c r="C12" s="804"/>
      <c r="D12" s="804"/>
      <c r="E12" s="804"/>
      <c r="F12" s="804"/>
      <c r="G12" s="804"/>
      <c r="H12" s="804"/>
      <c r="I12" s="804"/>
      <c r="J12" s="804"/>
      <c r="K12" s="804"/>
      <c r="L12" s="804"/>
      <c r="M12" s="804"/>
      <c r="N12" s="804"/>
      <c r="O12" s="804"/>
      <c r="P12" s="804"/>
      <c r="Q12" s="804"/>
      <c r="R12" s="804"/>
      <c r="S12" s="804"/>
      <c r="T12" s="804"/>
      <c r="U12" s="804"/>
      <c r="V12" s="804"/>
      <c r="W12" s="804"/>
      <c r="X12" s="804"/>
      <c r="Y12" s="804"/>
      <c r="Z12" s="804"/>
      <c r="AA12" s="804"/>
      <c r="AB12" s="804"/>
      <c r="AC12" s="804"/>
      <c r="AD12" s="697"/>
      <c r="AE12" s="554"/>
      <c r="AF12" s="554"/>
      <c r="AG12" s="554"/>
      <c r="AH12" s="554"/>
      <c r="AI12" s="554"/>
      <c r="AJ12" s="555">
        <v>106.23302983559877</v>
      </c>
      <c r="AK12" s="556">
        <v>105.1948604625895</v>
      </c>
      <c r="AL12" s="555">
        <v>104.86113485125321</v>
      </c>
      <c r="AM12" s="554">
        <v>12</v>
      </c>
      <c r="AN12" s="554">
        <v>1000000</v>
      </c>
      <c r="AO12" s="554">
        <v>0.12</v>
      </c>
      <c r="AP12" s="552"/>
      <c r="AQ12" s="552"/>
      <c r="AR12" s="552"/>
      <c r="AS12" s="554">
        <v>0.18</v>
      </c>
      <c r="AT12" s="552"/>
      <c r="AV12" s="553" t="s">
        <v>86</v>
      </c>
      <c r="AX12" s="611">
        <f>E144+E148+E152+E156+E160+E168+E172+E176+E245+E274+E335+E341+E421+E425+E434</f>
        <v>176.52309999999997</v>
      </c>
      <c r="AY12" s="612">
        <f>G144+G148+G152+G156+G160+G168+G172+G176+G245+G274+G335+G341+G421+G425+G434</f>
        <v>125.8127</v>
      </c>
      <c r="AZ12" s="612">
        <f>I144+I148+I152+I156+I160+I168+I172+I176+I245+I274+I335+I341+I421+I425+I434</f>
        <v>14.415299999999998</v>
      </c>
      <c r="BA12" s="612">
        <f>K144+K148+K152+K156+K160+K168+K172+K176+K245+K274+K335+K341+K421+K425+K434</f>
        <v>9.3401</v>
      </c>
      <c r="BB12" s="612">
        <f>M144+M148+M152+M156+M160+M168+M172+M176+M245+M274+M335+M341+M421+M425+M434</f>
        <v>26.955</v>
      </c>
      <c r="BC12" s="612">
        <f>O144+O148+O152+O156+O160+O168+O172+O176+O245+O274+O335+O341+O421+O425+O434</f>
        <v>0</v>
      </c>
      <c r="BD12" s="612">
        <f>Q144+Q148+Q152+Q156+Q160+Q168+Q172+Q176+Q245+Q274+Q335+Q341+Q421+Q425+Q434</f>
        <v>0</v>
      </c>
      <c r="BE12" s="613">
        <f>SUM(BB12:BD12)</f>
        <v>26.955</v>
      </c>
    </row>
    <row r="13" spans="1:57" s="553" customFormat="1" ht="18" customHeight="1">
      <c r="A13" s="804"/>
      <c r="B13" s="804" t="s">
        <v>368</v>
      </c>
      <c r="C13" s="804"/>
      <c r="D13" s="617" t="s">
        <v>273</v>
      </c>
      <c r="E13" s="649">
        <f>G13+I13+K13+M13+O13+Q13</f>
        <v>12374.5765</v>
      </c>
      <c r="F13" s="649">
        <f>SUM(F14:F16)</f>
        <v>356.92869999999994</v>
      </c>
      <c r="G13" s="610">
        <f aca="true" t="shared" si="5" ref="G13:Q13">SUM(G14:G16)</f>
        <v>1442.8519999999999</v>
      </c>
      <c r="H13" s="684">
        <f>SUM(H14:H16)</f>
        <v>0</v>
      </c>
      <c r="I13" s="649">
        <f t="shared" si="5"/>
        <v>1256.4845</v>
      </c>
      <c r="J13" s="649">
        <f>SUM(J14:J16)</f>
        <v>14</v>
      </c>
      <c r="K13" s="610">
        <f t="shared" si="5"/>
        <v>0</v>
      </c>
      <c r="L13" s="610">
        <f>SUM(L14:L16)</f>
        <v>0</v>
      </c>
      <c r="M13" s="610">
        <f t="shared" si="5"/>
        <v>8384.618</v>
      </c>
      <c r="N13" s="684">
        <f>SUM(N14:N16)</f>
        <v>286.02872</v>
      </c>
      <c r="O13" s="610">
        <f t="shared" si="5"/>
        <v>1290.6219999999998</v>
      </c>
      <c r="P13" s="610">
        <f>SUM(P14:P16)</f>
        <v>56.900000000000006</v>
      </c>
      <c r="Q13" s="610">
        <f t="shared" si="5"/>
        <v>0</v>
      </c>
      <c r="R13" s="610">
        <f>SUM(R14:R16)</f>
        <v>0</v>
      </c>
      <c r="S13" s="789"/>
      <c r="T13" s="789"/>
      <c r="U13" s="618">
        <f>SUM(U14:U16)</f>
        <v>2381</v>
      </c>
      <c r="V13" s="618">
        <v>107</v>
      </c>
      <c r="W13" s="649">
        <f>SUM(W14:W16)</f>
        <v>1396.8547039441369</v>
      </c>
      <c r="X13" s="649">
        <f aca="true" t="shared" si="6" ref="X13:AD13">SUM(X14:X16)</f>
        <v>123.45540000000001</v>
      </c>
      <c r="Y13" s="649">
        <f>SUM(Y14:Y16)</f>
        <v>1337.99681416</v>
      </c>
      <c r="Z13" s="649">
        <f t="shared" si="6"/>
        <v>61.284</v>
      </c>
      <c r="AA13" s="649">
        <f>SUM(AA14:AA16)</f>
        <v>31.90687672738023</v>
      </c>
      <c r="AB13" s="649">
        <f t="shared" si="6"/>
        <v>8.6194</v>
      </c>
      <c r="AC13" s="649">
        <f>SUM(AC14:AC16)</f>
        <v>26.951013056756576</v>
      </c>
      <c r="AD13" s="684">
        <f t="shared" si="6"/>
        <v>9.056000000000001</v>
      </c>
      <c r="AE13" s="554"/>
      <c r="AF13" s="562">
        <f>SUM(AF14:AF16)</f>
        <v>1521</v>
      </c>
      <c r="AG13" s="562">
        <f>SUM(AG14:AG16)</f>
        <v>860</v>
      </c>
      <c r="AH13" s="554"/>
      <c r="AI13" s="554"/>
      <c r="AJ13" s="555">
        <v>106.23302983559877</v>
      </c>
      <c r="AK13" s="556">
        <v>105.1948604625895</v>
      </c>
      <c r="AL13" s="555">
        <v>104.86113485125321</v>
      </c>
      <c r="AM13" s="554">
        <v>12</v>
      </c>
      <c r="AN13" s="554">
        <v>1000000</v>
      </c>
      <c r="AO13" s="554">
        <v>0.12</v>
      </c>
      <c r="AP13" s="552"/>
      <c r="AQ13" s="552"/>
      <c r="AR13" s="552"/>
      <c r="AS13" s="554">
        <v>0.18</v>
      </c>
      <c r="AT13" s="552"/>
      <c r="AV13" s="553">
        <v>2013</v>
      </c>
      <c r="AX13" s="611">
        <f>E145+E149+E153+E157+E161+E169+E173+E177+E246+E275+E336+E342+E422+E426+E435</f>
        <v>125.5445</v>
      </c>
      <c r="AY13" s="612">
        <f>G145+G149+G153+G157+G161+G169+G173+G177+G246+G275+G336+G342+G422+G426+G435</f>
        <v>84.33270000000002</v>
      </c>
      <c r="AZ13" s="612">
        <f>I145+I149+I153+I157+I161+I169+I173+I177+I246+I275+I336+I342+I422+I426+I435</f>
        <v>12.456699999999998</v>
      </c>
      <c r="BA13" s="612">
        <f>K145+K149+K153+K157+K161+K169+K173+K177+K246+K275+K336+K342+K422+K426+K435</f>
        <v>9.2791</v>
      </c>
      <c r="BB13" s="612">
        <f>M145+M149+M153+M157+M161+M169+M173+M177+M246+M275+M336+M342+M422+M426+M435</f>
        <v>19.476</v>
      </c>
      <c r="BC13" s="612">
        <f>O145+O149+O153+O157+O161+O169+O173+O177+O246+O275+O336+O342+O422+O426+O435</f>
        <v>0</v>
      </c>
      <c r="BD13" s="612">
        <f>Q145+Q149+Q153+Q157+Q161+Q169+Q173+Q177+Q246+Q275+Q336+Q342+Q422+Q426+Q435</f>
        <v>0</v>
      </c>
      <c r="BE13" s="613">
        <f>SUM(BB13:BD13)</f>
        <v>19.476</v>
      </c>
    </row>
    <row r="14" spans="1:57" s="553" customFormat="1" ht="18" customHeight="1">
      <c r="A14" s="804"/>
      <c r="B14" s="804"/>
      <c r="C14" s="804"/>
      <c r="D14" s="617">
        <v>2013</v>
      </c>
      <c r="E14" s="649">
        <f>G14+I14+M14+O14+Q14</f>
        <v>4854.0665</v>
      </c>
      <c r="F14" s="649">
        <f>SUM(F19+F80)</f>
        <v>169.382</v>
      </c>
      <c r="G14" s="610">
        <f aca="true" t="shared" si="7" ref="G14:Q14">G19+G80</f>
        <v>836.852</v>
      </c>
      <c r="H14" s="684">
        <f>H19+H80</f>
        <v>0</v>
      </c>
      <c r="I14" s="649">
        <f t="shared" si="7"/>
        <v>706.3345</v>
      </c>
      <c r="J14" s="649">
        <f>J19+J80</f>
        <v>14</v>
      </c>
      <c r="K14" s="610">
        <f t="shared" si="7"/>
        <v>0</v>
      </c>
      <c r="L14" s="610">
        <f>L19+L80</f>
        <v>0</v>
      </c>
      <c r="M14" s="610">
        <f t="shared" si="7"/>
        <v>2527.1580000000004</v>
      </c>
      <c r="N14" s="684">
        <f>N19+N80</f>
        <v>133.782</v>
      </c>
      <c r="O14" s="610">
        <f t="shared" si="7"/>
        <v>783.722</v>
      </c>
      <c r="P14" s="610">
        <f>P19+P80</f>
        <v>21.6</v>
      </c>
      <c r="Q14" s="610">
        <f t="shared" si="7"/>
        <v>0</v>
      </c>
      <c r="R14" s="610">
        <f>R19+R80</f>
        <v>0</v>
      </c>
      <c r="S14" s="804"/>
      <c r="T14" s="804"/>
      <c r="U14" s="618">
        <f>U19+U80</f>
        <v>475</v>
      </c>
      <c r="V14" s="618">
        <f>V19+V80</f>
        <v>59</v>
      </c>
      <c r="W14" s="649">
        <f>Y14+AA14+AC14</f>
        <v>539.7945982953902</v>
      </c>
      <c r="X14" s="649">
        <f>X19+X80</f>
        <v>4.4954</v>
      </c>
      <c r="Y14" s="649">
        <f>Y19+Y80</f>
        <v>524.251582</v>
      </c>
      <c r="Z14" s="649">
        <f>Z19+Z80</f>
        <v>0.5680000000000001</v>
      </c>
      <c r="AA14" s="649">
        <f aca="true" t="shared" si="8" ref="Y14:AC16">AA19+AA80</f>
        <v>8.42586913373102</v>
      </c>
      <c r="AB14" s="649">
        <f>AB19+AB80</f>
        <v>0.4084</v>
      </c>
      <c r="AC14" s="649">
        <f t="shared" si="8"/>
        <v>7.117147161659166</v>
      </c>
      <c r="AD14" s="684">
        <f>AD19+AD80</f>
        <v>2.9390000000000005</v>
      </c>
      <c r="AE14" s="554"/>
      <c r="AF14" s="562">
        <f aca="true" t="shared" si="9" ref="AF14:AG16">AF19+AF80</f>
        <v>475</v>
      </c>
      <c r="AG14" s="562">
        <f t="shared" si="9"/>
        <v>0</v>
      </c>
      <c r="AH14" s="554"/>
      <c r="AI14" s="554"/>
      <c r="AJ14" s="555">
        <v>106.23302983559877</v>
      </c>
      <c r="AK14" s="556">
        <v>105.1948604625895</v>
      </c>
      <c r="AL14" s="555">
        <v>104.86113485125321</v>
      </c>
      <c r="AM14" s="554">
        <v>12</v>
      </c>
      <c r="AN14" s="554">
        <v>1000000</v>
      </c>
      <c r="AO14" s="554">
        <v>0.12</v>
      </c>
      <c r="AP14" s="552"/>
      <c r="AQ14" s="552"/>
      <c r="AR14" s="552"/>
      <c r="AS14" s="554">
        <v>0.18</v>
      </c>
      <c r="AT14" s="552"/>
      <c r="AV14" s="553">
        <v>2014</v>
      </c>
      <c r="AX14" s="611">
        <f>E146+E150+E154+E158+E162+E170+E174+E178+E247+E276+E337+E343+E423+E427+E436</f>
        <v>26.912300000000002</v>
      </c>
      <c r="AY14" s="612">
        <f>G146+G150+G154+G158+G162+G170+G174+G178+G247+G276+G337+G343+G423+G427+G436</f>
        <v>21.24</v>
      </c>
      <c r="AZ14" s="612">
        <f>I146+I150+I154+I158+I162+I170+I174+I178+I247+I276+I337+I343+I423+I427+I436</f>
        <v>1.8985999999999998</v>
      </c>
      <c r="BA14" s="612">
        <f>K146+K150+K154+K158+K162+K170+K174+K178+K247+K276+K337+K343+K423+K427+K436</f>
        <v>0.0387</v>
      </c>
      <c r="BB14" s="612">
        <f>M146+M150+M154+M158+M162+M170+M174+M178+M247+M276+M337+M343+M423+M427+M436</f>
        <v>3.735</v>
      </c>
      <c r="BC14" s="612">
        <f>O146+O150+O154+O158+O162+O170+O174+O178+O247+O276+O337+O343+O423+O427+O436</f>
        <v>0</v>
      </c>
      <c r="BD14" s="612">
        <f>Q146+Q150+Q154+Q158+Q162+Q170+Q174+Q178+Q247+Q276+Q337+Q343+Q423+Q427+Q436</f>
        <v>0</v>
      </c>
      <c r="BE14" s="613">
        <f>SUM(BB14:BD14)</f>
        <v>3.735</v>
      </c>
    </row>
    <row r="15" spans="1:57" s="553" customFormat="1" ht="18" customHeight="1">
      <c r="A15" s="804"/>
      <c r="B15" s="804"/>
      <c r="C15" s="804"/>
      <c r="D15" s="617">
        <v>2014</v>
      </c>
      <c r="E15" s="649">
        <f>G15+I15+K15+M15+O15</f>
        <v>4248.3099999999995</v>
      </c>
      <c r="F15" s="649">
        <f>F20+F81</f>
        <v>124.22999999999999</v>
      </c>
      <c r="G15" s="610">
        <f aca="true" t="shared" si="10" ref="G15:Q15">G20+G81</f>
        <v>606</v>
      </c>
      <c r="H15" s="684">
        <f>H20+H81</f>
        <v>0</v>
      </c>
      <c r="I15" s="649">
        <f t="shared" si="10"/>
        <v>550.15</v>
      </c>
      <c r="J15" s="649">
        <f>J20+J81</f>
        <v>0</v>
      </c>
      <c r="K15" s="610">
        <f t="shared" si="10"/>
        <v>0</v>
      </c>
      <c r="L15" s="610">
        <f>L20+L81</f>
        <v>0</v>
      </c>
      <c r="M15" s="610">
        <f t="shared" si="10"/>
        <v>3013.66</v>
      </c>
      <c r="N15" s="684">
        <f>N20+N81</f>
        <v>94.92999999999999</v>
      </c>
      <c r="O15" s="610">
        <f t="shared" si="10"/>
        <v>78.5</v>
      </c>
      <c r="P15" s="610">
        <f>P20+P81</f>
        <v>29.3</v>
      </c>
      <c r="Q15" s="610">
        <f t="shared" si="10"/>
        <v>0</v>
      </c>
      <c r="R15" s="610"/>
      <c r="S15" s="804"/>
      <c r="T15" s="804"/>
      <c r="U15" s="618">
        <f>U20+U81</f>
        <v>758</v>
      </c>
      <c r="V15" s="610">
        <f>V20+V81</f>
        <v>41</v>
      </c>
      <c r="W15" s="649">
        <f>Y15+AA15+AC15</f>
        <v>476.909693753579</v>
      </c>
      <c r="X15" s="649">
        <f>X20+X81</f>
        <v>40.375</v>
      </c>
      <c r="Y15" s="649">
        <v>458.817</v>
      </c>
      <c r="Z15" s="649">
        <f>Z20+Z81</f>
        <v>28.63</v>
      </c>
      <c r="AA15" s="649">
        <f t="shared" si="8"/>
        <v>9.808049283815176</v>
      </c>
      <c r="AB15" s="649">
        <f>AB20+AB81</f>
        <v>6.833</v>
      </c>
      <c r="AC15" s="649">
        <f t="shared" si="8"/>
        <v>8.284644469763823</v>
      </c>
      <c r="AD15" s="684">
        <f>AD20+AD81</f>
        <v>5.115</v>
      </c>
      <c r="AE15" s="554"/>
      <c r="AF15" s="562">
        <f t="shared" si="9"/>
        <v>398</v>
      </c>
      <c r="AG15" s="562">
        <f t="shared" si="9"/>
        <v>360</v>
      </c>
      <c r="AH15" s="554"/>
      <c r="AI15" s="554"/>
      <c r="AJ15" s="555">
        <v>106.23302983559877</v>
      </c>
      <c r="AK15" s="556">
        <v>105.1948604625895</v>
      </c>
      <c r="AL15" s="555">
        <v>104.86113485125321</v>
      </c>
      <c r="AM15" s="554">
        <v>12</v>
      </c>
      <c r="AN15" s="554">
        <v>1000000</v>
      </c>
      <c r="AO15" s="554">
        <v>0.12</v>
      </c>
      <c r="AP15" s="552"/>
      <c r="AQ15" s="552"/>
      <c r="AR15" s="552"/>
      <c r="AS15" s="554">
        <v>0.18</v>
      </c>
      <c r="AT15" s="552"/>
      <c r="AV15" s="553">
        <v>2015</v>
      </c>
      <c r="AX15" s="611">
        <f>E147+E151+E155+E159+E163+E171+E175+E179+E248+E277+E338+E344+E424+E428+E437</f>
        <v>86.2973</v>
      </c>
      <c r="AY15" s="612">
        <f>G147+G151+G155+G159+G163+G171+G175+G179+G248+G277+G338+G344+G424+G428+G437</f>
        <v>20.24</v>
      </c>
      <c r="AZ15" s="612">
        <f>I147+I151+I155+I159+I163+I171+I175+I179+I248+I277+I338+I344+I424+I428+I437</f>
        <v>0.06</v>
      </c>
      <c r="BA15" s="612">
        <f>K147+K151+K155+K159+K163+K171+K175+K179+K248+K277+K338+K344+K424+K428+K437</f>
        <v>0.028300000000000002</v>
      </c>
      <c r="BB15" s="612">
        <f>M147+M151+M155+M159+M163+M171+M175+M179+M248+M277+M338+M344+M424+M428+M437</f>
        <v>3.7439999999999998</v>
      </c>
      <c r="BC15" s="612">
        <f>O147+O151+O155+O159+O163+O171+O175+O179+O248+O277+O338+O344+O424+O428+O437</f>
        <v>0</v>
      </c>
      <c r="BD15" s="612">
        <f>Q147+Q151+Q155+Q159+Q163+Q171+Q175+Q179+Q248+Q277+Q338+Q344+Q424+Q428+Q437</f>
        <v>0</v>
      </c>
      <c r="BE15" s="613">
        <f>SUM(BB15:BD15)</f>
        <v>3.7439999999999998</v>
      </c>
    </row>
    <row r="16" spans="1:46" s="553" customFormat="1" ht="71.25" customHeight="1">
      <c r="A16" s="804"/>
      <c r="B16" s="804"/>
      <c r="C16" s="804"/>
      <c r="D16" s="617">
        <v>2015</v>
      </c>
      <c r="E16" s="649">
        <f>E21+E82</f>
        <v>3286.37252</v>
      </c>
      <c r="F16" s="649">
        <f>F21+F82</f>
        <v>63.3167</v>
      </c>
      <c r="G16" s="610">
        <f aca="true" t="shared" si="11" ref="G16:Q16">G21+G82</f>
        <v>0</v>
      </c>
      <c r="H16" s="684">
        <f>H21+H82</f>
        <v>0</v>
      </c>
      <c r="I16" s="649">
        <f t="shared" si="11"/>
        <v>0</v>
      </c>
      <c r="J16" s="649">
        <f>J21+J82</f>
        <v>0</v>
      </c>
      <c r="K16" s="610">
        <f t="shared" si="11"/>
        <v>0</v>
      </c>
      <c r="L16" s="610">
        <f>L21+L82</f>
        <v>0</v>
      </c>
      <c r="M16" s="610">
        <f t="shared" si="11"/>
        <v>2843.8</v>
      </c>
      <c r="N16" s="684">
        <f>N21+N82</f>
        <v>57.316720000000004</v>
      </c>
      <c r="O16" s="610">
        <f t="shared" si="11"/>
        <v>428.4</v>
      </c>
      <c r="P16" s="610">
        <f>P21+P82</f>
        <v>6</v>
      </c>
      <c r="Q16" s="610">
        <f t="shared" si="11"/>
        <v>0</v>
      </c>
      <c r="R16" s="610">
        <f>R21+R82</f>
        <v>0</v>
      </c>
      <c r="S16" s="804"/>
      <c r="T16" s="804"/>
      <c r="U16" s="618">
        <f>U21+U82</f>
        <v>1148</v>
      </c>
      <c r="V16" s="610" t="s">
        <v>842</v>
      </c>
      <c r="W16" s="649">
        <f>Y16+AA16+AC16</f>
        <v>380.1504118951676</v>
      </c>
      <c r="X16" s="649">
        <f>X21+X82</f>
        <v>78.58500000000001</v>
      </c>
      <c r="Y16" s="649">
        <f t="shared" si="8"/>
        <v>354.92823216</v>
      </c>
      <c r="Z16" s="649">
        <f>Z21+Z82</f>
        <v>32.086</v>
      </c>
      <c r="AA16" s="649">
        <f t="shared" si="8"/>
        <v>13.672958309834033</v>
      </c>
      <c r="AB16" s="649">
        <f>AB21+AB82</f>
        <v>1.3780000000000001</v>
      </c>
      <c r="AC16" s="649">
        <f t="shared" si="8"/>
        <v>11.549221425333588</v>
      </c>
      <c r="AD16" s="698">
        <f>AD21+AD82</f>
        <v>1.002</v>
      </c>
      <c r="AE16" s="554"/>
      <c r="AF16" s="562">
        <f t="shared" si="9"/>
        <v>648</v>
      </c>
      <c r="AG16" s="562">
        <f t="shared" si="9"/>
        <v>500</v>
      </c>
      <c r="AH16" s="554"/>
      <c r="AI16" s="554"/>
      <c r="AJ16" s="555">
        <v>106.23302983559877</v>
      </c>
      <c r="AK16" s="556">
        <v>105.1948604625895</v>
      </c>
      <c r="AL16" s="555">
        <v>104.86113485125321</v>
      </c>
      <c r="AM16" s="554">
        <v>12</v>
      </c>
      <c r="AN16" s="554">
        <v>1000000</v>
      </c>
      <c r="AO16" s="554">
        <v>0.12</v>
      </c>
      <c r="AP16" s="552"/>
      <c r="AQ16" s="552"/>
      <c r="AR16" s="552"/>
      <c r="AS16" s="554">
        <v>0.18</v>
      </c>
      <c r="AT16" s="552"/>
    </row>
    <row r="17" spans="1:45" ht="18" customHeight="1">
      <c r="A17" s="824" t="s">
        <v>346</v>
      </c>
      <c r="B17" s="825"/>
      <c r="C17" s="825"/>
      <c r="D17" s="825"/>
      <c r="E17" s="825"/>
      <c r="F17" s="825"/>
      <c r="G17" s="825"/>
      <c r="H17" s="825"/>
      <c r="I17" s="825"/>
      <c r="J17" s="825"/>
      <c r="K17" s="825"/>
      <c r="L17" s="825"/>
      <c r="M17" s="825"/>
      <c r="N17" s="825"/>
      <c r="O17" s="825"/>
      <c r="P17" s="825"/>
      <c r="Q17" s="825"/>
      <c r="R17" s="825"/>
      <c r="S17" s="825"/>
      <c r="T17" s="825"/>
      <c r="U17" s="825"/>
      <c r="V17" s="825"/>
      <c r="W17" s="825"/>
      <c r="X17" s="825"/>
      <c r="Y17" s="825"/>
      <c r="Z17" s="825"/>
      <c r="AA17" s="825"/>
      <c r="AB17" s="825"/>
      <c r="AC17" s="826"/>
      <c r="AD17" s="697"/>
      <c r="AJ17" s="513">
        <v>106.23302983559877</v>
      </c>
      <c r="AK17" s="514">
        <v>105.1948604625895</v>
      </c>
      <c r="AL17" s="513">
        <v>104.86113485125321</v>
      </c>
      <c r="AM17" s="512">
        <v>12</v>
      </c>
      <c r="AN17" s="512">
        <v>1000000</v>
      </c>
      <c r="AO17" s="512">
        <v>0.12</v>
      </c>
      <c r="AS17" s="512">
        <v>0.18</v>
      </c>
    </row>
    <row r="18" spans="1:46" s="553" customFormat="1" ht="18" customHeight="1">
      <c r="A18" s="771"/>
      <c r="B18" s="771" t="s">
        <v>369</v>
      </c>
      <c r="C18" s="771"/>
      <c r="D18" s="558" t="s">
        <v>273</v>
      </c>
      <c r="E18" s="594">
        <f>G18+I18+K18+M18+O18+Q18</f>
        <v>4688.7165</v>
      </c>
      <c r="F18" s="594">
        <f>SUM(F19:F21)</f>
        <v>171.25500000000002</v>
      </c>
      <c r="G18" s="619">
        <f aca="true" t="shared" si="12" ref="G18:Q18">SUM(G19:G21)</f>
        <v>316.852</v>
      </c>
      <c r="H18" s="685">
        <f>SUM(H19:H21)</f>
        <v>0</v>
      </c>
      <c r="I18" s="594">
        <f t="shared" si="12"/>
        <v>130.4845</v>
      </c>
      <c r="J18" s="594">
        <f>SUM(J19:J21)</f>
        <v>14</v>
      </c>
      <c r="K18" s="619">
        <f t="shared" si="12"/>
        <v>0</v>
      </c>
      <c r="L18" s="595">
        <f>SUM(L19:L21)</f>
        <v>0</v>
      </c>
      <c r="M18" s="619">
        <f t="shared" si="12"/>
        <v>3516.958</v>
      </c>
      <c r="N18" s="685">
        <f>SUM(N19:N21)</f>
        <v>100.35502</v>
      </c>
      <c r="O18" s="619">
        <f t="shared" si="12"/>
        <v>724.422</v>
      </c>
      <c r="P18" s="595">
        <f>SUM(P19:P21)</f>
        <v>56.900000000000006</v>
      </c>
      <c r="Q18" s="619">
        <f t="shared" si="12"/>
        <v>0</v>
      </c>
      <c r="R18" s="595">
        <f>SUM(R19:R21)</f>
        <v>0</v>
      </c>
      <c r="S18" s="766"/>
      <c r="T18" s="766"/>
      <c r="U18" s="559">
        <f aca="true" t="shared" si="13" ref="U18:AD18">SUM(U19:U21)</f>
        <v>1065</v>
      </c>
      <c r="V18" s="595">
        <f t="shared" si="13"/>
        <v>141</v>
      </c>
      <c r="W18" s="594">
        <f t="shared" si="13"/>
        <v>543.0875242467694</v>
      </c>
      <c r="X18" s="594">
        <f>SUM(X19:X21)</f>
        <v>23.8295</v>
      </c>
      <c r="Y18" s="594">
        <f t="shared" si="13"/>
        <v>506.40591215999996</v>
      </c>
      <c r="Z18" s="594">
        <f t="shared" si="13"/>
        <v>8.664000000000001</v>
      </c>
      <c r="AA18" s="594">
        <f t="shared" si="13"/>
        <v>19.902013451643164</v>
      </c>
      <c r="AB18" s="594">
        <f t="shared" si="13"/>
        <v>3.9905</v>
      </c>
      <c r="AC18" s="594">
        <f t="shared" si="13"/>
        <v>16.810767910178452</v>
      </c>
      <c r="AD18" s="685">
        <f t="shared" si="13"/>
        <v>4.3500000000000005</v>
      </c>
      <c r="AE18" s="554"/>
      <c r="AF18" s="559">
        <f>SUM(AF19:AF21)</f>
        <v>1065</v>
      </c>
      <c r="AG18" s="559">
        <f>SUM(AG19:AG21)</f>
        <v>0</v>
      </c>
      <c r="AH18" s="554"/>
      <c r="AI18" s="554"/>
      <c r="AJ18" s="555">
        <v>106.23302983559877</v>
      </c>
      <c r="AK18" s="556">
        <v>105.1948604625895</v>
      </c>
      <c r="AL18" s="555">
        <v>104.86113485125321</v>
      </c>
      <c r="AM18" s="554">
        <v>12</v>
      </c>
      <c r="AN18" s="554">
        <v>1000000</v>
      </c>
      <c r="AO18" s="554">
        <v>0.12</v>
      </c>
      <c r="AP18" s="552"/>
      <c r="AQ18" s="552"/>
      <c r="AR18" s="552"/>
      <c r="AS18" s="554">
        <v>0.18</v>
      </c>
      <c r="AT18" s="552"/>
    </row>
    <row r="19" spans="1:46" s="553" customFormat="1" ht="18" customHeight="1">
      <c r="A19" s="771"/>
      <c r="B19" s="771"/>
      <c r="C19" s="771"/>
      <c r="D19" s="558">
        <v>2013</v>
      </c>
      <c r="E19" s="594">
        <f>G19+I19+K19+M19+O19+Q19</f>
        <v>3363.6165</v>
      </c>
      <c r="F19" s="594">
        <f>F47+F59+F63+F71+F75+F67+F39</f>
        <v>85.09200000000001</v>
      </c>
      <c r="G19" s="619">
        <f>G23+G47+G51+G55+G59+G63+G67+G71+G75</f>
        <v>316.852</v>
      </c>
      <c r="H19" s="685">
        <f>H47+H59+H63+H71+H75+H67+H39</f>
        <v>0</v>
      </c>
      <c r="I19" s="594">
        <f aca="true" t="shared" si="14" ref="G19:Q21">I23+I47+I51+I55+I59+I63+I67+I71+I75</f>
        <v>130.4845</v>
      </c>
      <c r="J19" s="594">
        <f>J47+J59+J63+J71+J75+J67+J39</f>
        <v>14</v>
      </c>
      <c r="K19" s="619">
        <f t="shared" si="14"/>
        <v>0</v>
      </c>
      <c r="L19" s="619">
        <f>L47+L59+L63+L71+L75+L67</f>
        <v>0</v>
      </c>
      <c r="M19" s="619">
        <f t="shared" si="14"/>
        <v>2445.2580000000003</v>
      </c>
      <c r="N19" s="685">
        <f>N47+N59+N63+N71+N75+N67</f>
        <v>49.492</v>
      </c>
      <c r="O19" s="619">
        <f t="shared" si="14"/>
        <v>471.022</v>
      </c>
      <c r="P19" s="619">
        <f>P47+P59+P63+P71+P75+P67</f>
        <v>21.6</v>
      </c>
      <c r="Q19" s="619">
        <f t="shared" si="14"/>
        <v>0</v>
      </c>
      <c r="R19" s="619">
        <f>R47+R59+R63+R71+R75+R67</f>
        <v>0</v>
      </c>
      <c r="S19" s="766"/>
      <c r="T19" s="766"/>
      <c r="U19" s="559">
        <f>U23+U47+U51+U55+U59+U63+U67+U71+U75</f>
        <v>422</v>
      </c>
      <c r="V19" s="559">
        <f>V71+V75+V67+V51+V59+V47</f>
        <v>47</v>
      </c>
      <c r="W19" s="594">
        <v>377.9</v>
      </c>
      <c r="X19" s="594">
        <f>X71+X75+X67+X51+X59+X47</f>
        <v>3.3745000000000003</v>
      </c>
      <c r="Y19" s="594">
        <f>Y23+Y47+Y51+Y55+Y59+Y63+Y67+Y71+Y75</f>
        <v>363.282982</v>
      </c>
      <c r="Z19" s="594">
        <f>Z71+Z75+Z67+Z51+Z59+Z47</f>
        <v>0.118</v>
      </c>
      <c r="AA19" s="594">
        <f>AA23+AA47+AA51+AA55+AA59+AA63+AA67+AA71+AA75</f>
        <v>7.94086027121546</v>
      </c>
      <c r="AB19" s="594">
        <f>AB71+AB75+AB67+AB51+AB59+AB47</f>
        <v>0.3645</v>
      </c>
      <c r="AC19" s="594">
        <f>AC23+AC47+AC51+AC55+AC59+AC63+AC67+AC71+AC75</f>
        <v>6.707470795405938</v>
      </c>
      <c r="AD19" s="685">
        <f>AD71+AD75+AD67+AD51+AD59+AD47</f>
        <v>2.8920000000000003</v>
      </c>
      <c r="AE19" s="554"/>
      <c r="AF19" s="559">
        <f aca="true" t="shared" si="15" ref="AF19:AG21">AF23+AF47+AF51+AF55+AF59+AF63+AF67+AF71+AF75</f>
        <v>422</v>
      </c>
      <c r="AG19" s="559">
        <f t="shared" si="15"/>
        <v>0</v>
      </c>
      <c r="AH19" s="554"/>
      <c r="AI19" s="554"/>
      <c r="AJ19" s="555">
        <v>106.23302983559877</v>
      </c>
      <c r="AK19" s="556">
        <v>105.1948604625895</v>
      </c>
      <c r="AL19" s="555">
        <v>104.86113485125321</v>
      </c>
      <c r="AM19" s="554">
        <v>12</v>
      </c>
      <c r="AN19" s="554">
        <v>1000000</v>
      </c>
      <c r="AO19" s="554">
        <v>0.12</v>
      </c>
      <c r="AP19" s="552"/>
      <c r="AQ19" s="552"/>
      <c r="AR19" s="552"/>
      <c r="AS19" s="554">
        <v>0.18</v>
      </c>
      <c r="AT19" s="552"/>
    </row>
    <row r="20" spans="1:46" s="553" customFormat="1" ht="18" customHeight="1">
      <c r="A20" s="771"/>
      <c r="B20" s="771"/>
      <c r="C20" s="771"/>
      <c r="D20" s="558">
        <v>2014</v>
      </c>
      <c r="E20" s="594">
        <f>G20+I20+K20+M20+O20+Q20</f>
        <v>333.29999999999995</v>
      </c>
      <c r="F20" s="594">
        <f>F76+F48+F60+F72</f>
        <v>55.78</v>
      </c>
      <c r="G20" s="619">
        <f t="shared" si="14"/>
        <v>0</v>
      </c>
      <c r="H20" s="685">
        <v>0</v>
      </c>
      <c r="I20" s="594">
        <f t="shared" si="14"/>
        <v>0</v>
      </c>
      <c r="J20" s="594">
        <v>0</v>
      </c>
      <c r="K20" s="619">
        <f t="shared" si="14"/>
        <v>0</v>
      </c>
      <c r="L20" s="619">
        <v>0</v>
      </c>
      <c r="M20" s="619">
        <f t="shared" si="14"/>
        <v>313.29999999999995</v>
      </c>
      <c r="N20" s="685">
        <f>N48+N60+N72+N76</f>
        <v>26.48</v>
      </c>
      <c r="O20" s="619">
        <f t="shared" si="14"/>
        <v>20</v>
      </c>
      <c r="P20" s="619">
        <f>P48+P60+P72</f>
        <v>29.3</v>
      </c>
      <c r="Q20" s="619">
        <f t="shared" si="14"/>
        <v>0</v>
      </c>
      <c r="R20" s="619">
        <v>0</v>
      </c>
      <c r="S20" s="766"/>
      <c r="T20" s="766"/>
      <c r="U20" s="559">
        <f>U24+U48+U52+U56+U60+U64+U68+U72+U76</f>
        <v>303</v>
      </c>
      <c r="V20" s="619">
        <f>V48+V60+V72</f>
        <v>17</v>
      </c>
      <c r="W20" s="594">
        <v>46.411</v>
      </c>
      <c r="X20" s="594">
        <f>X48+X60+X72+X76</f>
        <v>11.85</v>
      </c>
      <c r="Y20" s="594">
        <v>35.996</v>
      </c>
      <c r="Z20" s="594">
        <f>Z48+Z60+Z72+Z76</f>
        <v>7.36</v>
      </c>
      <c r="AA20" s="594">
        <f>AA24+AA48+AA52+AA56+AA60+AA64+AA68+AA72+AA76</f>
        <v>5.645893550590379</v>
      </c>
      <c r="AB20" s="594">
        <f>AB48+AB60+AB72+AB76</f>
        <v>3.528</v>
      </c>
      <c r="AC20" s="594">
        <f>AC24+AC48+AC52+AC56+AC60+AC64+AC68+AC72+AC76</f>
        <v>4.768962657840497</v>
      </c>
      <c r="AD20" s="685">
        <f>AD48+AD60+AD72+AD76</f>
        <v>1.356</v>
      </c>
      <c r="AE20" s="554"/>
      <c r="AF20" s="559">
        <f t="shared" si="15"/>
        <v>303</v>
      </c>
      <c r="AG20" s="559">
        <f t="shared" si="15"/>
        <v>0</v>
      </c>
      <c r="AH20" s="554"/>
      <c r="AI20" s="554"/>
      <c r="AJ20" s="555">
        <v>106.23302983559877</v>
      </c>
      <c r="AK20" s="556">
        <v>105.1948604625895</v>
      </c>
      <c r="AL20" s="555">
        <v>104.86113485125321</v>
      </c>
      <c r="AM20" s="554">
        <v>12</v>
      </c>
      <c r="AN20" s="554">
        <v>1000000</v>
      </c>
      <c r="AO20" s="554">
        <v>0.12</v>
      </c>
      <c r="AP20" s="552"/>
      <c r="AQ20" s="552"/>
      <c r="AR20" s="552"/>
      <c r="AS20" s="554">
        <v>0.18</v>
      </c>
      <c r="AT20" s="552"/>
    </row>
    <row r="21" spans="1:56" s="553" customFormat="1" ht="18" customHeight="1">
      <c r="A21" s="771"/>
      <c r="B21" s="771"/>
      <c r="C21" s="771"/>
      <c r="D21" s="558">
        <v>2015</v>
      </c>
      <c r="E21" s="594">
        <f>E25+E29+E33+E37+E41+E45+E49+E53+E57+E61+E65+E69+E73+E77</f>
        <v>991.91602</v>
      </c>
      <c r="F21" s="594">
        <f>F25+F29+F33+F37+F41+F45+F49+F53+F57+F61+F65+F69+F73+F77</f>
        <v>30.383</v>
      </c>
      <c r="G21" s="619">
        <f t="shared" si="14"/>
        <v>0</v>
      </c>
      <c r="H21" s="685">
        <f>H25+H29+H33+H37+H41+H45+H49+H53+H57+H61+H65+H69+H73+H77</f>
        <v>0</v>
      </c>
      <c r="I21" s="594">
        <f t="shared" si="14"/>
        <v>0</v>
      </c>
      <c r="J21" s="594">
        <f>J25+J29+J33+J37+J41+J45+J49+J53+J57+J61+J65+J69+J73+J77</f>
        <v>0</v>
      </c>
      <c r="K21" s="619">
        <f t="shared" si="14"/>
        <v>0</v>
      </c>
      <c r="L21" s="595">
        <f>L25+L29+L33+L37+L41+L45+L49+L53+L57+L61+L65+L69+L73+L77</f>
        <v>0</v>
      </c>
      <c r="M21" s="619">
        <f t="shared" si="14"/>
        <v>758.4</v>
      </c>
      <c r="N21" s="685">
        <f>N25+N29+N33+N37+N41+N45+N49+N53+N57+N61+N65+N69+N73+N77</f>
        <v>24.38302</v>
      </c>
      <c r="O21" s="619">
        <f t="shared" si="14"/>
        <v>233.4</v>
      </c>
      <c r="P21" s="595">
        <f>P25+P29+P33+P37+P41+P45+P49+P53+P57+P61+P65+P69+P73+P77</f>
        <v>6</v>
      </c>
      <c r="Q21" s="619">
        <f>Q25+Q49+Q53+Q57+Q61+Q65+Q69+Q73+Q77</f>
        <v>0</v>
      </c>
      <c r="R21" s="595">
        <f>R25+R29+R33+R37+R41+R45+R49+R53+R57+R61+R65+R69+R73+R77</f>
        <v>0</v>
      </c>
      <c r="S21" s="766"/>
      <c r="T21" s="766"/>
      <c r="U21" s="559">
        <f>U25+U49+U53+U57+U61+U65+U69+U73+U77</f>
        <v>340</v>
      </c>
      <c r="V21" s="595">
        <f>V25+V29+V33+V37+V41+V45+V49+V53+V57+V61+V65+V69+V73+V77</f>
        <v>77</v>
      </c>
      <c r="W21" s="594">
        <f>Y21+AA21+AC21</f>
        <v>118.77652424676934</v>
      </c>
      <c r="X21" s="594">
        <f>X25+X29+X33+X37+X41+X45+X49+X53+X57+X61+X65+X69+X73+X77</f>
        <v>8.605</v>
      </c>
      <c r="Y21" s="594">
        <f>Y25+Y49+Y53+Y57+Y61+Y65+Y69+Y73+Y77</f>
        <v>107.12693016</v>
      </c>
      <c r="Z21" s="594">
        <f>Z25+Z29+Z33+Z37+Z41+Z45+Z49+Z53+Z57+Z61+Z65+Z69+Z73+Z77</f>
        <v>1.186</v>
      </c>
      <c r="AA21" s="594">
        <f>AA25+AA49+AA53+AA57+AA61+AA65+AA69+AA73+AA77</f>
        <v>6.315259629837324</v>
      </c>
      <c r="AB21" s="594">
        <f>AB25+AB29+AB33+AB37+AB41+AB45+AB49+AB53+AB57+AB61+AB65+AB69+AB73+AB77</f>
        <v>0.098</v>
      </c>
      <c r="AC21" s="594">
        <f>AC25+AC49+AC53+AC57+AC61+AC65+AC69+AC73+AC77</f>
        <v>5.334334456932015</v>
      </c>
      <c r="AD21" s="685">
        <f>AD25+AD29+AD33+AD37+AD41+AD45+AD49+AD53+AD57+AD61+AD65+AD69+AD73+AD77</f>
        <v>0.102</v>
      </c>
      <c r="AE21" s="554"/>
      <c r="AF21" s="559">
        <f t="shared" si="15"/>
        <v>340</v>
      </c>
      <c r="AG21" s="559">
        <f t="shared" si="15"/>
        <v>0</v>
      </c>
      <c r="AH21" s="554"/>
      <c r="AI21" s="554"/>
      <c r="AJ21" s="555">
        <v>106.23302983559877</v>
      </c>
      <c r="AK21" s="556">
        <v>105.1948604625895</v>
      </c>
      <c r="AL21" s="555">
        <v>104.86113485125321</v>
      </c>
      <c r="AM21" s="554">
        <v>12</v>
      </c>
      <c r="AN21" s="554">
        <v>1000000</v>
      </c>
      <c r="AO21" s="554">
        <v>0.12</v>
      </c>
      <c r="AP21" s="552"/>
      <c r="AQ21" s="552"/>
      <c r="AR21" s="552"/>
      <c r="AS21" s="554">
        <v>0.18</v>
      </c>
      <c r="AT21" s="552"/>
      <c r="AV21" s="553" t="s">
        <v>669</v>
      </c>
      <c r="AX21" s="561">
        <f>E13+E136</f>
        <v>12698.665459999998</v>
      </c>
      <c r="AY21" s="557">
        <f>G13+G136</f>
        <v>1558.252</v>
      </c>
      <c r="AZ21" s="557">
        <f>I13+I136</f>
        <v>1270.5738000000001</v>
      </c>
      <c r="BA21" s="557">
        <f>K13+K136</f>
        <v>4.2841000000000005</v>
      </c>
      <c r="BB21" s="557">
        <f>M13+M136</f>
        <v>8394.813</v>
      </c>
      <c r="BC21" s="557">
        <f>O13+O136</f>
        <v>1290.6219999999998</v>
      </c>
      <c r="BD21" s="557">
        <f>Q13+Q136</f>
        <v>0</v>
      </c>
    </row>
    <row r="22" spans="1:56" s="524" customFormat="1" ht="21.75" customHeight="1">
      <c r="A22" s="841">
        <v>1</v>
      </c>
      <c r="B22" s="820" t="s">
        <v>417</v>
      </c>
      <c r="C22" s="820" t="s">
        <v>428</v>
      </c>
      <c r="D22" s="568" t="s">
        <v>273</v>
      </c>
      <c r="E22" s="578">
        <f aca="true" t="shared" si="16" ref="E22:E46">SUM(G22:Q22)</f>
        <v>2448.6165</v>
      </c>
      <c r="F22" s="578"/>
      <c r="G22" s="569">
        <f aca="true" t="shared" si="17" ref="G22:Q22">SUM(G23:G25)</f>
        <v>316.852</v>
      </c>
      <c r="H22" s="586"/>
      <c r="I22" s="578">
        <f t="shared" si="17"/>
        <v>40.4845</v>
      </c>
      <c r="J22" s="578"/>
      <c r="K22" s="569">
        <f t="shared" si="17"/>
        <v>0</v>
      </c>
      <c r="L22" s="569"/>
      <c r="M22" s="569">
        <f t="shared" si="17"/>
        <v>2057.958</v>
      </c>
      <c r="N22" s="586"/>
      <c r="O22" s="569">
        <f t="shared" si="17"/>
        <v>33.322</v>
      </c>
      <c r="P22" s="569"/>
      <c r="Q22" s="569">
        <f t="shared" si="17"/>
        <v>0</v>
      </c>
      <c r="R22" s="569"/>
      <c r="S22" s="817"/>
      <c r="T22" s="819" t="s">
        <v>590</v>
      </c>
      <c r="U22" s="493">
        <f>SUM(U23:U25)</f>
        <v>188</v>
      </c>
      <c r="V22" s="493"/>
      <c r="W22" s="577">
        <f>SUM(W23:W25)</f>
        <v>270.9763787784948</v>
      </c>
      <c r="X22" s="577"/>
      <c r="Y22" s="577">
        <f>SUM(Y23:Y25)</f>
        <v>264.450582</v>
      </c>
      <c r="Z22" s="577"/>
      <c r="AA22" s="577">
        <f>SUM(AA23:AA25)</f>
        <v>3.5376344336220527</v>
      </c>
      <c r="AB22" s="577"/>
      <c r="AC22" s="577">
        <f>SUM(AC23:AC25)</f>
        <v>2.988162344872787</v>
      </c>
      <c r="AD22" s="699"/>
      <c r="AE22" s="512"/>
      <c r="AF22" s="520"/>
      <c r="AG22" s="521"/>
      <c r="AH22" s="522"/>
      <c r="AI22" s="522"/>
      <c r="AJ22" s="513">
        <v>106.23302983559877</v>
      </c>
      <c r="AK22" s="514">
        <v>105.1948604625895</v>
      </c>
      <c r="AL22" s="513">
        <v>104.86113485125321</v>
      </c>
      <c r="AM22" s="512">
        <v>12</v>
      </c>
      <c r="AN22" s="512">
        <v>1000000</v>
      </c>
      <c r="AO22" s="512">
        <v>0.12</v>
      </c>
      <c r="AP22" s="523">
        <f>AE22*AH22*AJ22%*AM22/AN22*AO22</f>
        <v>0</v>
      </c>
      <c r="AQ22" s="523">
        <f>AP22*0.4579</f>
        <v>0</v>
      </c>
      <c r="AR22" s="523">
        <f>AP22-AQ22</f>
        <v>0</v>
      </c>
      <c r="AS22" s="512">
        <v>0.18</v>
      </c>
      <c r="AT22" s="523">
        <f aca="true" t="shared" si="18" ref="AT22:AT85">E22*0.6*AS22</f>
        <v>264.450582</v>
      </c>
      <c r="AV22" s="501" t="s">
        <v>671</v>
      </c>
      <c r="AW22" s="501"/>
      <c r="AX22" s="519">
        <f>E185+E202+E254+E303</f>
        <v>9494.6036</v>
      </c>
      <c r="AY22" s="517">
        <f>G185+G202+G254+G303</f>
        <v>8329.0256</v>
      </c>
      <c r="AZ22" s="517">
        <f>I185+I202+I254+I303</f>
        <v>637.5</v>
      </c>
      <c r="BA22" s="517">
        <f>K185+K202+K254+K303</f>
        <v>139.518</v>
      </c>
      <c r="BB22" s="517">
        <f>M185+M202+M254+M303</f>
        <v>273.06</v>
      </c>
      <c r="BC22" s="517">
        <f>O185+O202+O254+O303</f>
        <v>0</v>
      </c>
      <c r="BD22" s="517">
        <f>Q185+Q202+Q254+Q303</f>
        <v>115.5</v>
      </c>
    </row>
    <row r="23" spans="1:56" s="524" customFormat="1" ht="21.75" customHeight="1">
      <c r="A23" s="841"/>
      <c r="B23" s="820"/>
      <c r="C23" s="820"/>
      <c r="D23" s="568">
        <v>2013</v>
      </c>
      <c r="E23" s="578">
        <f t="shared" si="16"/>
        <v>2448.6165</v>
      </c>
      <c r="F23" s="578"/>
      <c r="G23" s="570">
        <f>G27</f>
        <v>316.852</v>
      </c>
      <c r="H23" s="686"/>
      <c r="I23" s="692">
        <f>I27</f>
        <v>40.4845</v>
      </c>
      <c r="J23" s="692"/>
      <c r="K23" s="570">
        <f>K27</f>
        <v>0</v>
      </c>
      <c r="L23" s="570"/>
      <c r="M23" s="570">
        <v>2057.958</v>
      </c>
      <c r="N23" s="686"/>
      <c r="O23" s="570">
        <v>33.322</v>
      </c>
      <c r="P23" s="570"/>
      <c r="Q23" s="570">
        <v>0</v>
      </c>
      <c r="R23" s="570"/>
      <c r="S23" s="817"/>
      <c r="T23" s="819"/>
      <c r="U23" s="493">
        <f>AE23</f>
        <v>188</v>
      </c>
      <c r="V23" s="493"/>
      <c r="W23" s="577">
        <f>SUM(Y23:AC23)</f>
        <v>270.9763787784948</v>
      </c>
      <c r="X23" s="577"/>
      <c r="Y23" s="577">
        <f>AT23</f>
        <v>264.450582</v>
      </c>
      <c r="Z23" s="577"/>
      <c r="AA23" s="577">
        <f>AR23</f>
        <v>3.5376344336220527</v>
      </c>
      <c r="AB23" s="577"/>
      <c r="AC23" s="577">
        <f>AQ23</f>
        <v>2.988162344872787</v>
      </c>
      <c r="AD23" s="699"/>
      <c r="AE23" s="525">
        <f>AF23+AG23</f>
        <v>188</v>
      </c>
      <c r="AF23" s="520">
        <f>50+59+79</f>
        <v>188</v>
      </c>
      <c r="AG23" s="521"/>
      <c r="AH23" s="522">
        <v>22691</v>
      </c>
      <c r="AI23" s="522"/>
      <c r="AJ23" s="513">
        <v>106.23302983559877</v>
      </c>
      <c r="AK23" s="514">
        <v>105.1948604625895</v>
      </c>
      <c r="AL23" s="513">
        <v>104.86113485125321</v>
      </c>
      <c r="AM23" s="512">
        <v>12</v>
      </c>
      <c r="AN23" s="512">
        <v>1000000</v>
      </c>
      <c r="AO23" s="512">
        <v>0.12</v>
      </c>
      <c r="AP23" s="523">
        <f>AE23*AH23*AJ23%*AM23/AN23*AO23</f>
        <v>6.52579677849484</v>
      </c>
      <c r="AQ23" s="523">
        <f aca="true" t="shared" si="19" ref="AQ23:AQ86">AP23*0.4579</f>
        <v>2.988162344872787</v>
      </c>
      <c r="AR23" s="523">
        <f aca="true" t="shared" si="20" ref="AR23:AR86">AP23-AQ23</f>
        <v>3.5376344336220527</v>
      </c>
      <c r="AS23" s="512">
        <v>0.18</v>
      </c>
      <c r="AT23" s="523">
        <f t="shared" si="18"/>
        <v>264.450582</v>
      </c>
      <c r="AV23" s="501" t="s">
        <v>670</v>
      </c>
      <c r="AW23" s="501"/>
      <c r="AX23" s="515">
        <f>E366+E379+E400+E409+E434</f>
        <v>1373.6197</v>
      </c>
      <c r="AY23" s="516">
        <f>G366+G379+G400+G409+G434</f>
        <v>202.9437</v>
      </c>
      <c r="AZ23" s="516">
        <f>I366+I379+I400+I409+I434</f>
        <v>931.676</v>
      </c>
      <c r="BA23" s="516">
        <f>K366+K379+K400+K409+K434</f>
        <v>239.006</v>
      </c>
      <c r="BB23" s="516">
        <f>M366+M379+M400+M409+M434</f>
        <v>0</v>
      </c>
      <c r="BC23" s="516">
        <f>O366+O379+O400+O409+O434</f>
        <v>0</v>
      </c>
      <c r="BD23" s="516">
        <f>Q366+Q379+Q400+Q409+Q434</f>
        <v>0</v>
      </c>
    </row>
    <row r="24" spans="1:56" s="524" customFormat="1" ht="21.75" customHeight="1">
      <c r="A24" s="841"/>
      <c r="B24" s="820"/>
      <c r="C24" s="820"/>
      <c r="D24" s="491">
        <v>2014</v>
      </c>
      <c r="E24" s="578">
        <f t="shared" si="16"/>
        <v>0</v>
      </c>
      <c r="F24" s="578"/>
      <c r="G24" s="570">
        <v>0</v>
      </c>
      <c r="H24" s="686"/>
      <c r="I24" s="692">
        <v>0</v>
      </c>
      <c r="J24" s="692"/>
      <c r="K24" s="570">
        <v>0</v>
      </c>
      <c r="L24" s="570"/>
      <c r="M24" s="570">
        <v>0</v>
      </c>
      <c r="N24" s="686"/>
      <c r="O24" s="570">
        <v>0</v>
      </c>
      <c r="P24" s="570"/>
      <c r="Q24" s="570">
        <v>0</v>
      </c>
      <c r="R24" s="570"/>
      <c r="S24" s="817"/>
      <c r="T24" s="819"/>
      <c r="U24" s="493">
        <f>AE24</f>
        <v>0</v>
      </c>
      <c r="V24" s="493"/>
      <c r="W24" s="577">
        <f>SUM(Y24:AC24)</f>
        <v>0</v>
      </c>
      <c r="X24" s="577"/>
      <c r="Y24" s="577">
        <f>AT24</f>
        <v>0</v>
      </c>
      <c r="Z24" s="577"/>
      <c r="AA24" s="577">
        <f>AR24</f>
        <v>0</v>
      </c>
      <c r="AB24" s="577"/>
      <c r="AC24" s="577">
        <f>AQ24</f>
        <v>0</v>
      </c>
      <c r="AD24" s="699"/>
      <c r="AE24" s="512">
        <f aca="true" t="shared" si="21" ref="AE24:AE68">AF24+AG24</f>
        <v>0</v>
      </c>
      <c r="AF24" s="520">
        <v>0</v>
      </c>
      <c r="AG24" s="521"/>
      <c r="AH24" s="522">
        <v>22691</v>
      </c>
      <c r="AI24" s="522"/>
      <c r="AJ24" s="513">
        <v>106.23302983559877</v>
      </c>
      <c r="AK24" s="514">
        <v>105.1948604625895</v>
      </c>
      <c r="AL24" s="513">
        <v>104.86113485125321</v>
      </c>
      <c r="AM24" s="512">
        <v>12</v>
      </c>
      <c r="AN24" s="512">
        <v>1000000</v>
      </c>
      <c r="AO24" s="512">
        <v>0.12</v>
      </c>
      <c r="AP24" s="523">
        <f aca="true" t="shared" si="22" ref="AP24:AP87">AE24*AH24*AJ24%*AM24/AN24*AO24</f>
        <v>0</v>
      </c>
      <c r="AQ24" s="523">
        <f t="shared" si="19"/>
        <v>0</v>
      </c>
      <c r="AR24" s="523">
        <f t="shared" si="20"/>
        <v>0</v>
      </c>
      <c r="AS24" s="512">
        <v>0.18</v>
      </c>
      <c r="AT24" s="523">
        <f t="shared" si="18"/>
        <v>0</v>
      </c>
      <c r="AV24" s="501"/>
      <c r="AW24" s="501"/>
      <c r="AX24" s="501"/>
      <c r="AY24" s="501"/>
      <c r="AZ24" s="501"/>
      <c r="BA24" s="501"/>
      <c r="BB24" s="501"/>
      <c r="BC24" s="501"/>
      <c r="BD24" s="501"/>
    </row>
    <row r="25" spans="1:56" s="716" customFormat="1" ht="21.75" customHeight="1">
      <c r="A25" s="841"/>
      <c r="B25" s="820"/>
      <c r="C25" s="820"/>
      <c r="D25" s="647">
        <v>2015</v>
      </c>
      <c r="E25" s="650">
        <f t="shared" si="16"/>
        <v>0</v>
      </c>
      <c r="F25" s="650">
        <v>0</v>
      </c>
      <c r="G25" s="711">
        <v>0</v>
      </c>
      <c r="H25" s="712">
        <v>0</v>
      </c>
      <c r="I25" s="713">
        <v>0</v>
      </c>
      <c r="J25" s="713">
        <v>0</v>
      </c>
      <c r="K25" s="711">
        <v>0</v>
      </c>
      <c r="L25" s="711">
        <v>0</v>
      </c>
      <c r="M25" s="711">
        <v>0</v>
      </c>
      <c r="N25" s="712">
        <v>0</v>
      </c>
      <c r="O25" s="711">
        <v>0</v>
      </c>
      <c r="P25" s="711">
        <v>0</v>
      </c>
      <c r="Q25" s="711">
        <v>0</v>
      </c>
      <c r="R25" s="711">
        <v>0</v>
      </c>
      <c r="S25" s="817"/>
      <c r="T25" s="819"/>
      <c r="U25" s="637">
        <f>AE25</f>
        <v>0</v>
      </c>
      <c r="V25" s="637"/>
      <c r="W25" s="646">
        <f>SUM(Y25:AC25)</f>
        <v>0</v>
      </c>
      <c r="X25" s="646"/>
      <c r="Y25" s="646">
        <f>AT25</f>
        <v>0</v>
      </c>
      <c r="Z25" s="646"/>
      <c r="AA25" s="646">
        <f>AR25</f>
        <v>0</v>
      </c>
      <c r="AB25" s="646"/>
      <c r="AC25" s="646">
        <f>AQ25</f>
        <v>0</v>
      </c>
      <c r="AD25" s="714"/>
      <c r="AE25" s="638">
        <f t="shared" si="21"/>
        <v>0</v>
      </c>
      <c r="AF25" s="639">
        <v>0</v>
      </c>
      <c r="AG25" s="715"/>
      <c r="AH25" s="640">
        <v>22691</v>
      </c>
      <c r="AI25" s="640"/>
      <c r="AJ25" s="641">
        <v>106.23302983559877</v>
      </c>
      <c r="AK25" s="642">
        <v>105.1948604625895</v>
      </c>
      <c r="AL25" s="641">
        <v>104.86113485125321</v>
      </c>
      <c r="AM25" s="638">
        <v>12</v>
      </c>
      <c r="AN25" s="638">
        <v>1000000</v>
      </c>
      <c r="AO25" s="638">
        <v>0.12</v>
      </c>
      <c r="AP25" s="643">
        <f t="shared" si="22"/>
        <v>0</v>
      </c>
      <c r="AQ25" s="643">
        <f t="shared" si="19"/>
        <v>0</v>
      </c>
      <c r="AR25" s="643">
        <f t="shared" si="20"/>
        <v>0</v>
      </c>
      <c r="AS25" s="638">
        <v>0.18</v>
      </c>
      <c r="AT25" s="643">
        <f t="shared" si="18"/>
        <v>0</v>
      </c>
      <c r="AV25" s="644"/>
      <c r="AW25" s="644"/>
      <c r="AX25" s="644"/>
      <c r="AY25" s="644"/>
      <c r="AZ25" s="644"/>
      <c r="BA25" s="644"/>
      <c r="BB25" s="644"/>
      <c r="BC25" s="644"/>
      <c r="BD25" s="644"/>
    </row>
    <row r="26" spans="1:56" s="524" customFormat="1" ht="17.25" customHeight="1">
      <c r="A26" s="842" t="s">
        <v>7</v>
      </c>
      <c r="B26" s="842"/>
      <c r="C26" s="842"/>
      <c r="D26" s="568" t="s">
        <v>273</v>
      </c>
      <c r="E26" s="578">
        <f t="shared" si="16"/>
        <v>400.54449999999997</v>
      </c>
      <c r="F26" s="578"/>
      <c r="G26" s="569">
        <f aca="true" t="shared" si="23" ref="G26:Q26">SUM(G27:G29)</f>
        <v>316.852</v>
      </c>
      <c r="H26" s="586"/>
      <c r="I26" s="578">
        <f t="shared" si="23"/>
        <v>40.4845</v>
      </c>
      <c r="J26" s="578"/>
      <c r="K26" s="569">
        <f t="shared" si="23"/>
        <v>0</v>
      </c>
      <c r="L26" s="569"/>
      <c r="M26" s="569">
        <f t="shared" si="23"/>
        <v>43.208</v>
      </c>
      <c r="N26" s="586"/>
      <c r="O26" s="569">
        <f t="shared" si="23"/>
        <v>0</v>
      </c>
      <c r="P26" s="569"/>
      <c r="Q26" s="569">
        <f t="shared" si="23"/>
        <v>0</v>
      </c>
      <c r="R26" s="569"/>
      <c r="S26" s="817"/>
      <c r="T26" s="818"/>
      <c r="U26" s="493">
        <f>SUM(U27:U29)</f>
        <v>0</v>
      </c>
      <c r="V26" s="493"/>
      <c r="W26" s="577">
        <f>SUM(W27:W29)</f>
        <v>43.25880599999999</v>
      </c>
      <c r="X26" s="577"/>
      <c r="Y26" s="577">
        <f>SUM(Y27:Y29)</f>
        <v>43.25880599999999</v>
      </c>
      <c r="Z26" s="577"/>
      <c r="AA26" s="577">
        <f>SUM(AA27:AA29)</f>
        <v>0</v>
      </c>
      <c r="AB26" s="577"/>
      <c r="AC26" s="577">
        <f>SUM(AC27:AC29)</f>
        <v>0</v>
      </c>
      <c r="AD26" s="699"/>
      <c r="AE26" s="512"/>
      <c r="AF26" s="520"/>
      <c r="AG26" s="521"/>
      <c r="AH26" s="522">
        <v>22691</v>
      </c>
      <c r="AI26" s="522"/>
      <c r="AJ26" s="513">
        <v>106.23302983559877</v>
      </c>
      <c r="AK26" s="514">
        <v>105.1948604625895</v>
      </c>
      <c r="AL26" s="513">
        <v>104.86113485125321</v>
      </c>
      <c r="AM26" s="512">
        <v>12</v>
      </c>
      <c r="AN26" s="512">
        <v>1000000</v>
      </c>
      <c r="AO26" s="512">
        <v>0.12</v>
      </c>
      <c r="AP26" s="523">
        <f t="shared" si="22"/>
        <v>0</v>
      </c>
      <c r="AQ26" s="523">
        <f t="shared" si="19"/>
        <v>0</v>
      </c>
      <c r="AR26" s="523">
        <f t="shared" si="20"/>
        <v>0</v>
      </c>
      <c r="AS26" s="512">
        <v>0.18</v>
      </c>
      <c r="AT26" s="523">
        <f t="shared" si="18"/>
        <v>43.25880599999999</v>
      </c>
      <c r="AV26" s="501"/>
      <c r="AW26" s="501"/>
      <c r="AX26" s="501"/>
      <c r="AY26" s="501"/>
      <c r="AZ26" s="501"/>
      <c r="BA26" s="501"/>
      <c r="BB26" s="501"/>
      <c r="BC26" s="501"/>
      <c r="BD26" s="501"/>
    </row>
    <row r="27" spans="1:56" s="524" customFormat="1" ht="17.25" customHeight="1">
      <c r="A27" s="842"/>
      <c r="B27" s="842"/>
      <c r="C27" s="842"/>
      <c r="D27" s="568">
        <v>2013</v>
      </c>
      <c r="E27" s="578">
        <f t="shared" si="16"/>
        <v>400.54449999999997</v>
      </c>
      <c r="F27" s="578"/>
      <c r="G27" s="570">
        <f>G31+G35+G39+G43</f>
        <v>316.852</v>
      </c>
      <c r="H27" s="686"/>
      <c r="I27" s="692">
        <f>I31+I35+I39+I43</f>
        <v>40.4845</v>
      </c>
      <c r="J27" s="692"/>
      <c r="K27" s="570">
        <f>K31+K35+K39+K43</f>
        <v>0</v>
      </c>
      <c r="L27" s="570"/>
      <c r="M27" s="570">
        <f>M31+M35+M39+M43</f>
        <v>43.208</v>
      </c>
      <c r="N27" s="686"/>
      <c r="O27" s="570">
        <v>0</v>
      </c>
      <c r="P27" s="570"/>
      <c r="Q27" s="570">
        <v>0</v>
      </c>
      <c r="R27" s="570"/>
      <c r="S27" s="817"/>
      <c r="T27" s="818"/>
      <c r="U27" s="493">
        <f>AE27</f>
        <v>0</v>
      </c>
      <c r="V27" s="493"/>
      <c r="W27" s="577">
        <f>SUM(Y27:AC27)</f>
        <v>43.25880599999999</v>
      </c>
      <c r="X27" s="577"/>
      <c r="Y27" s="577">
        <f>AT27</f>
        <v>43.25880599999999</v>
      </c>
      <c r="Z27" s="577"/>
      <c r="AA27" s="577">
        <f>AR27</f>
        <v>0</v>
      </c>
      <c r="AB27" s="577"/>
      <c r="AC27" s="577">
        <f>AQ27</f>
        <v>0</v>
      </c>
      <c r="AD27" s="699"/>
      <c r="AE27" s="512">
        <f t="shared" si="21"/>
        <v>0</v>
      </c>
      <c r="AF27" s="520">
        <v>0</v>
      </c>
      <c r="AG27" s="521"/>
      <c r="AH27" s="522">
        <v>22691</v>
      </c>
      <c r="AI27" s="522"/>
      <c r="AJ27" s="513">
        <v>106.23302983559877</v>
      </c>
      <c r="AK27" s="514">
        <v>105.1948604625895</v>
      </c>
      <c r="AL27" s="513">
        <v>104.86113485125321</v>
      </c>
      <c r="AM27" s="512">
        <v>12</v>
      </c>
      <c r="AN27" s="512">
        <v>1000000</v>
      </c>
      <c r="AO27" s="512">
        <v>0.12</v>
      </c>
      <c r="AP27" s="523">
        <f t="shared" si="22"/>
        <v>0</v>
      </c>
      <c r="AQ27" s="523">
        <f t="shared" si="19"/>
        <v>0</v>
      </c>
      <c r="AR27" s="523">
        <f t="shared" si="20"/>
        <v>0</v>
      </c>
      <c r="AS27" s="512">
        <v>0.18</v>
      </c>
      <c r="AT27" s="523">
        <f t="shared" si="18"/>
        <v>43.25880599999999</v>
      </c>
      <c r="AV27" s="501"/>
      <c r="AW27" s="501"/>
      <c r="AX27" s="501"/>
      <c r="AY27" s="501"/>
      <c r="AZ27" s="501"/>
      <c r="BA27" s="501"/>
      <c r="BB27" s="501"/>
      <c r="BC27" s="501"/>
      <c r="BD27" s="501"/>
    </row>
    <row r="28" spans="1:46" s="524" customFormat="1" ht="17.25" customHeight="1">
      <c r="A28" s="842"/>
      <c r="B28" s="842"/>
      <c r="C28" s="842"/>
      <c r="D28" s="491">
        <v>2014</v>
      </c>
      <c r="E28" s="578">
        <f t="shared" si="16"/>
        <v>0</v>
      </c>
      <c r="F28" s="578"/>
      <c r="G28" s="570">
        <v>0</v>
      </c>
      <c r="H28" s="686"/>
      <c r="I28" s="692">
        <v>0</v>
      </c>
      <c r="J28" s="692"/>
      <c r="K28" s="570">
        <v>0</v>
      </c>
      <c r="L28" s="570"/>
      <c r="M28" s="570">
        <v>0</v>
      </c>
      <c r="N28" s="686"/>
      <c r="O28" s="570">
        <v>0</v>
      </c>
      <c r="P28" s="570"/>
      <c r="Q28" s="570">
        <v>0</v>
      </c>
      <c r="R28" s="570"/>
      <c r="S28" s="817"/>
      <c r="T28" s="818"/>
      <c r="U28" s="493">
        <f>AE28</f>
        <v>0</v>
      </c>
      <c r="V28" s="493"/>
      <c r="W28" s="577">
        <f>SUM(Y28:AC28)</f>
        <v>0</v>
      </c>
      <c r="X28" s="577"/>
      <c r="Y28" s="577">
        <f>AT28</f>
        <v>0</v>
      </c>
      <c r="Z28" s="577"/>
      <c r="AA28" s="577">
        <f>AR28</f>
        <v>0</v>
      </c>
      <c r="AB28" s="577"/>
      <c r="AC28" s="577">
        <f>AQ28</f>
        <v>0</v>
      </c>
      <c r="AD28" s="699"/>
      <c r="AE28" s="512">
        <f t="shared" si="21"/>
        <v>0</v>
      </c>
      <c r="AF28" s="520">
        <v>0</v>
      </c>
      <c r="AG28" s="521"/>
      <c r="AH28" s="522">
        <v>22691</v>
      </c>
      <c r="AI28" s="522"/>
      <c r="AJ28" s="513">
        <v>106.23302983559877</v>
      </c>
      <c r="AK28" s="514">
        <v>105.1948604625895</v>
      </c>
      <c r="AL28" s="513">
        <v>104.86113485125321</v>
      </c>
      <c r="AM28" s="512">
        <v>12</v>
      </c>
      <c r="AN28" s="512">
        <v>1000000</v>
      </c>
      <c r="AO28" s="512">
        <v>0.12</v>
      </c>
      <c r="AP28" s="523">
        <f t="shared" si="22"/>
        <v>0</v>
      </c>
      <c r="AQ28" s="523">
        <f t="shared" si="19"/>
        <v>0</v>
      </c>
      <c r="AR28" s="523">
        <f t="shared" si="20"/>
        <v>0</v>
      </c>
      <c r="AS28" s="512">
        <v>0.18</v>
      </c>
      <c r="AT28" s="523">
        <f t="shared" si="18"/>
        <v>0</v>
      </c>
    </row>
    <row r="29" spans="1:46" s="716" customFormat="1" ht="17.25" customHeight="1">
      <c r="A29" s="842"/>
      <c r="B29" s="842"/>
      <c r="C29" s="842"/>
      <c r="D29" s="647">
        <v>2015</v>
      </c>
      <c r="E29" s="650">
        <f t="shared" si="16"/>
        <v>0</v>
      </c>
      <c r="F29" s="650">
        <v>0</v>
      </c>
      <c r="G29" s="711">
        <v>0</v>
      </c>
      <c r="H29" s="712">
        <v>0</v>
      </c>
      <c r="I29" s="713">
        <v>0</v>
      </c>
      <c r="J29" s="713">
        <v>0</v>
      </c>
      <c r="K29" s="711">
        <v>0</v>
      </c>
      <c r="L29" s="711">
        <v>0</v>
      </c>
      <c r="M29" s="711">
        <v>0</v>
      </c>
      <c r="N29" s="712">
        <v>0</v>
      </c>
      <c r="O29" s="711">
        <v>0</v>
      </c>
      <c r="P29" s="711">
        <v>0</v>
      </c>
      <c r="Q29" s="711">
        <v>0</v>
      </c>
      <c r="R29" s="711">
        <v>0</v>
      </c>
      <c r="S29" s="817"/>
      <c r="T29" s="818"/>
      <c r="U29" s="637">
        <f>AE29</f>
        <v>0</v>
      </c>
      <c r="V29" s="637"/>
      <c r="W29" s="646">
        <f>SUM(Y29:AC29)</f>
        <v>0</v>
      </c>
      <c r="X29" s="646"/>
      <c r="Y29" s="646">
        <f>AT29</f>
        <v>0</v>
      </c>
      <c r="Z29" s="646"/>
      <c r="AA29" s="646">
        <f>AR29</f>
        <v>0</v>
      </c>
      <c r="AB29" s="646"/>
      <c r="AC29" s="646">
        <f>AQ29</f>
        <v>0</v>
      </c>
      <c r="AD29" s="714"/>
      <c r="AE29" s="638">
        <f t="shared" si="21"/>
        <v>0</v>
      </c>
      <c r="AF29" s="639">
        <v>0</v>
      </c>
      <c r="AG29" s="715"/>
      <c r="AH29" s="640">
        <v>22691</v>
      </c>
      <c r="AI29" s="640"/>
      <c r="AJ29" s="641">
        <v>106.23302983559877</v>
      </c>
      <c r="AK29" s="642">
        <v>105.1948604625895</v>
      </c>
      <c r="AL29" s="641">
        <v>104.86113485125321</v>
      </c>
      <c r="AM29" s="638">
        <v>12</v>
      </c>
      <c r="AN29" s="638">
        <v>1000000</v>
      </c>
      <c r="AO29" s="638">
        <v>0.12</v>
      </c>
      <c r="AP29" s="643">
        <f t="shared" si="22"/>
        <v>0</v>
      </c>
      <c r="AQ29" s="643">
        <f t="shared" si="19"/>
        <v>0</v>
      </c>
      <c r="AR29" s="643">
        <f t="shared" si="20"/>
        <v>0</v>
      </c>
      <c r="AS29" s="638">
        <v>0.18</v>
      </c>
      <c r="AT29" s="643">
        <f t="shared" si="18"/>
        <v>0</v>
      </c>
    </row>
    <row r="30" spans="1:46" s="524" customFormat="1" ht="23.25" customHeight="1">
      <c r="A30" s="834" t="s">
        <v>403</v>
      </c>
      <c r="B30" s="820" t="s">
        <v>404</v>
      </c>
      <c r="C30" s="820"/>
      <c r="D30" s="568" t="s">
        <v>273</v>
      </c>
      <c r="E30" s="578">
        <f t="shared" si="16"/>
        <v>119.502</v>
      </c>
      <c r="F30" s="578"/>
      <c r="G30" s="569">
        <f aca="true" t="shared" si="24" ref="G30:Q30">SUM(G31:G33)</f>
        <v>105.425</v>
      </c>
      <c r="H30" s="586"/>
      <c r="I30" s="578">
        <f t="shared" si="24"/>
        <v>14.077</v>
      </c>
      <c r="J30" s="578"/>
      <c r="K30" s="569">
        <f t="shared" si="24"/>
        <v>0</v>
      </c>
      <c r="L30" s="569"/>
      <c r="M30" s="569">
        <f t="shared" si="24"/>
        <v>0</v>
      </c>
      <c r="N30" s="586"/>
      <c r="O30" s="569">
        <f t="shared" si="24"/>
        <v>0</v>
      </c>
      <c r="P30" s="569"/>
      <c r="Q30" s="569">
        <f t="shared" si="24"/>
        <v>0</v>
      </c>
      <c r="R30" s="569"/>
      <c r="S30" s="817"/>
      <c r="T30" s="819" t="s">
        <v>6</v>
      </c>
      <c r="U30" s="493">
        <f>SUM(U31:U33)</f>
        <v>0</v>
      </c>
      <c r="V30" s="493"/>
      <c r="W30" s="577">
        <f>SUM(W31:W33)</f>
        <v>12.906215999999999</v>
      </c>
      <c r="X30" s="577"/>
      <c r="Y30" s="577">
        <f>SUM(Y31:Y33)</f>
        <v>12.906215999999999</v>
      </c>
      <c r="Z30" s="577"/>
      <c r="AA30" s="577">
        <f>SUM(AA31:AA33)</f>
        <v>0</v>
      </c>
      <c r="AB30" s="577"/>
      <c r="AC30" s="577">
        <f>SUM(AC31:AC33)</f>
        <v>0</v>
      </c>
      <c r="AD30" s="699"/>
      <c r="AE30" s="512"/>
      <c r="AF30" s="520"/>
      <c r="AG30" s="521"/>
      <c r="AH30" s="522">
        <v>22691</v>
      </c>
      <c r="AI30" s="522"/>
      <c r="AJ30" s="513">
        <v>106.23302983559877</v>
      </c>
      <c r="AK30" s="514">
        <v>105.1948604625895</v>
      </c>
      <c r="AL30" s="513">
        <v>104.86113485125321</v>
      </c>
      <c r="AM30" s="512">
        <v>12</v>
      </c>
      <c r="AN30" s="512">
        <v>1000000</v>
      </c>
      <c r="AO30" s="512">
        <v>0.12</v>
      </c>
      <c r="AP30" s="523">
        <f t="shared" si="22"/>
        <v>0</v>
      </c>
      <c r="AQ30" s="523">
        <f t="shared" si="19"/>
        <v>0</v>
      </c>
      <c r="AR30" s="523">
        <f t="shared" si="20"/>
        <v>0</v>
      </c>
      <c r="AS30" s="512">
        <v>0.18</v>
      </c>
      <c r="AT30" s="523">
        <f t="shared" si="18"/>
        <v>12.906215999999999</v>
      </c>
    </row>
    <row r="31" spans="1:46" s="524" customFormat="1" ht="23.25" customHeight="1">
      <c r="A31" s="834"/>
      <c r="B31" s="820"/>
      <c r="C31" s="820"/>
      <c r="D31" s="568">
        <v>2013</v>
      </c>
      <c r="E31" s="578">
        <f t="shared" si="16"/>
        <v>119.502</v>
      </c>
      <c r="F31" s="578"/>
      <c r="G31" s="571">
        <v>105.425</v>
      </c>
      <c r="H31" s="691"/>
      <c r="I31" s="693">
        <v>14.077</v>
      </c>
      <c r="J31" s="693"/>
      <c r="K31" s="570">
        <v>0</v>
      </c>
      <c r="L31" s="570"/>
      <c r="M31" s="570">
        <v>0</v>
      </c>
      <c r="N31" s="686"/>
      <c r="O31" s="570">
        <v>0</v>
      </c>
      <c r="P31" s="570"/>
      <c r="Q31" s="570">
        <v>0</v>
      </c>
      <c r="R31" s="570"/>
      <c r="S31" s="817"/>
      <c r="T31" s="819"/>
      <c r="U31" s="493">
        <f>AE31</f>
        <v>0</v>
      </c>
      <c r="V31" s="493"/>
      <c r="W31" s="577">
        <f>SUM(Y31:AC31)</f>
        <v>12.906215999999999</v>
      </c>
      <c r="X31" s="577"/>
      <c r="Y31" s="577">
        <f>AT31</f>
        <v>12.906215999999999</v>
      </c>
      <c r="Z31" s="577"/>
      <c r="AA31" s="577">
        <f>AR31</f>
        <v>0</v>
      </c>
      <c r="AB31" s="577"/>
      <c r="AC31" s="577">
        <f>AQ31</f>
        <v>0</v>
      </c>
      <c r="AD31" s="699"/>
      <c r="AE31" s="512">
        <f t="shared" si="21"/>
        <v>0</v>
      </c>
      <c r="AF31" s="520">
        <v>0</v>
      </c>
      <c r="AG31" s="521"/>
      <c r="AH31" s="522">
        <v>22691</v>
      </c>
      <c r="AI31" s="522"/>
      <c r="AJ31" s="513">
        <v>106.23302983559877</v>
      </c>
      <c r="AK31" s="514">
        <v>105.1948604625895</v>
      </c>
      <c r="AL31" s="513">
        <v>104.86113485125321</v>
      </c>
      <c r="AM31" s="512">
        <v>12</v>
      </c>
      <c r="AN31" s="512">
        <v>1000000</v>
      </c>
      <c r="AO31" s="512">
        <v>0.12</v>
      </c>
      <c r="AP31" s="523">
        <f t="shared" si="22"/>
        <v>0</v>
      </c>
      <c r="AQ31" s="523">
        <f t="shared" si="19"/>
        <v>0</v>
      </c>
      <c r="AR31" s="523">
        <f t="shared" si="20"/>
        <v>0</v>
      </c>
      <c r="AS31" s="512">
        <v>0.18</v>
      </c>
      <c r="AT31" s="523">
        <f t="shared" si="18"/>
        <v>12.906215999999999</v>
      </c>
    </row>
    <row r="32" spans="1:46" s="524" customFormat="1" ht="23.25" customHeight="1">
      <c r="A32" s="834"/>
      <c r="B32" s="820"/>
      <c r="C32" s="820"/>
      <c r="D32" s="491">
        <v>2014</v>
      </c>
      <c r="E32" s="578">
        <f t="shared" si="16"/>
        <v>0</v>
      </c>
      <c r="F32" s="578"/>
      <c r="G32" s="570">
        <v>0</v>
      </c>
      <c r="H32" s="686"/>
      <c r="I32" s="692">
        <v>0</v>
      </c>
      <c r="J32" s="692"/>
      <c r="K32" s="570">
        <v>0</v>
      </c>
      <c r="L32" s="570"/>
      <c r="M32" s="570">
        <v>0</v>
      </c>
      <c r="N32" s="686"/>
      <c r="O32" s="570">
        <v>0</v>
      </c>
      <c r="P32" s="570"/>
      <c r="Q32" s="570">
        <v>0</v>
      </c>
      <c r="R32" s="570"/>
      <c r="S32" s="817"/>
      <c r="T32" s="819"/>
      <c r="U32" s="493">
        <f>AE32</f>
        <v>0</v>
      </c>
      <c r="V32" s="493"/>
      <c r="W32" s="577">
        <f>SUM(Y32:AC32)</f>
        <v>0</v>
      </c>
      <c r="X32" s="577"/>
      <c r="Y32" s="577">
        <f>AT32</f>
        <v>0</v>
      </c>
      <c r="Z32" s="577"/>
      <c r="AA32" s="577">
        <f>AR32</f>
        <v>0</v>
      </c>
      <c r="AB32" s="577"/>
      <c r="AC32" s="577">
        <f>AQ32</f>
        <v>0</v>
      </c>
      <c r="AD32" s="699"/>
      <c r="AE32" s="512">
        <f t="shared" si="21"/>
        <v>0</v>
      </c>
      <c r="AF32" s="520">
        <v>0</v>
      </c>
      <c r="AG32" s="521"/>
      <c r="AH32" s="522">
        <v>22691</v>
      </c>
      <c r="AI32" s="522"/>
      <c r="AJ32" s="513">
        <v>106.23302983559877</v>
      </c>
      <c r="AK32" s="514">
        <v>105.1948604625895</v>
      </c>
      <c r="AL32" s="513">
        <v>104.86113485125321</v>
      </c>
      <c r="AM32" s="512">
        <v>12</v>
      </c>
      <c r="AN32" s="512">
        <v>1000000</v>
      </c>
      <c r="AO32" s="512">
        <v>0.12</v>
      </c>
      <c r="AP32" s="523">
        <f t="shared" si="22"/>
        <v>0</v>
      </c>
      <c r="AQ32" s="523">
        <f t="shared" si="19"/>
        <v>0</v>
      </c>
      <c r="AR32" s="523">
        <f t="shared" si="20"/>
        <v>0</v>
      </c>
      <c r="AS32" s="512">
        <v>0.18</v>
      </c>
      <c r="AT32" s="523">
        <f t="shared" si="18"/>
        <v>0</v>
      </c>
    </row>
    <row r="33" spans="1:46" s="716" customFormat="1" ht="23.25" customHeight="1">
      <c r="A33" s="834"/>
      <c r="B33" s="820"/>
      <c r="C33" s="820"/>
      <c r="D33" s="647">
        <v>2015</v>
      </c>
      <c r="E33" s="650">
        <f t="shared" si="16"/>
        <v>0</v>
      </c>
      <c r="F33" s="650">
        <v>0</v>
      </c>
      <c r="G33" s="711">
        <v>0</v>
      </c>
      <c r="H33" s="712">
        <v>0</v>
      </c>
      <c r="I33" s="713">
        <v>0</v>
      </c>
      <c r="J33" s="713">
        <v>0</v>
      </c>
      <c r="K33" s="711">
        <v>0</v>
      </c>
      <c r="L33" s="711">
        <v>0</v>
      </c>
      <c r="M33" s="711">
        <v>0</v>
      </c>
      <c r="N33" s="712">
        <v>0</v>
      </c>
      <c r="O33" s="711">
        <v>0</v>
      </c>
      <c r="P33" s="711">
        <v>0</v>
      </c>
      <c r="Q33" s="711">
        <v>0</v>
      </c>
      <c r="R33" s="711">
        <v>0</v>
      </c>
      <c r="S33" s="817"/>
      <c r="T33" s="819"/>
      <c r="U33" s="637">
        <f>AE33</f>
        <v>0</v>
      </c>
      <c r="V33" s="637"/>
      <c r="W33" s="646">
        <f>SUM(Y33:AC33)</f>
        <v>0</v>
      </c>
      <c r="X33" s="646"/>
      <c r="Y33" s="646">
        <f>AT33</f>
        <v>0</v>
      </c>
      <c r="Z33" s="646"/>
      <c r="AA33" s="646">
        <f>AR33</f>
        <v>0</v>
      </c>
      <c r="AB33" s="646"/>
      <c r="AC33" s="646">
        <f>AQ33</f>
        <v>0</v>
      </c>
      <c r="AD33" s="714"/>
      <c r="AE33" s="638">
        <f t="shared" si="21"/>
        <v>0</v>
      </c>
      <c r="AF33" s="639">
        <v>0</v>
      </c>
      <c r="AG33" s="715"/>
      <c r="AH33" s="640">
        <v>22691</v>
      </c>
      <c r="AI33" s="640"/>
      <c r="AJ33" s="641">
        <v>106.23302983559877</v>
      </c>
      <c r="AK33" s="642">
        <v>105.1948604625895</v>
      </c>
      <c r="AL33" s="641">
        <v>104.86113485125321</v>
      </c>
      <c r="AM33" s="638">
        <v>12</v>
      </c>
      <c r="AN33" s="638">
        <v>1000000</v>
      </c>
      <c r="AO33" s="638">
        <v>0.12</v>
      </c>
      <c r="AP33" s="643">
        <f t="shared" si="22"/>
        <v>0</v>
      </c>
      <c r="AQ33" s="643">
        <f t="shared" si="19"/>
        <v>0</v>
      </c>
      <c r="AR33" s="643">
        <f t="shared" si="20"/>
        <v>0</v>
      </c>
      <c r="AS33" s="638">
        <v>0.18</v>
      </c>
      <c r="AT33" s="643">
        <f t="shared" si="18"/>
        <v>0</v>
      </c>
    </row>
    <row r="34" spans="1:46" s="524" customFormat="1" ht="23.25" customHeight="1">
      <c r="A34" s="834" t="s">
        <v>414</v>
      </c>
      <c r="B34" s="820" t="s">
        <v>405</v>
      </c>
      <c r="C34" s="820"/>
      <c r="D34" s="568" t="s">
        <v>273</v>
      </c>
      <c r="E34" s="578">
        <f t="shared" si="16"/>
        <v>0.8935000000000001</v>
      </c>
      <c r="F34" s="578"/>
      <c r="G34" s="569">
        <f aca="true" t="shared" si="25" ref="G34:Q34">SUM(G35:G37)</f>
        <v>0.671</v>
      </c>
      <c r="H34" s="586"/>
      <c r="I34" s="578">
        <f t="shared" si="25"/>
        <v>0.2225</v>
      </c>
      <c r="J34" s="578"/>
      <c r="K34" s="569">
        <f t="shared" si="25"/>
        <v>0</v>
      </c>
      <c r="L34" s="569"/>
      <c r="M34" s="569">
        <f t="shared" si="25"/>
        <v>0</v>
      </c>
      <c r="N34" s="586"/>
      <c r="O34" s="569">
        <f t="shared" si="25"/>
        <v>0</v>
      </c>
      <c r="P34" s="569"/>
      <c r="Q34" s="569">
        <f t="shared" si="25"/>
        <v>0</v>
      </c>
      <c r="R34" s="569"/>
      <c r="S34" s="817"/>
      <c r="T34" s="819" t="s">
        <v>406</v>
      </c>
      <c r="U34" s="493">
        <f>SUM(U35:U37)</f>
        <v>0</v>
      </c>
      <c r="V34" s="493"/>
      <c r="W34" s="577">
        <f>SUM(W35:W37)</f>
        <v>0.096498</v>
      </c>
      <c r="X34" s="577"/>
      <c r="Y34" s="577">
        <f>SUM(Y35:Y37)</f>
        <v>0.096498</v>
      </c>
      <c r="Z34" s="577"/>
      <c r="AA34" s="577">
        <f>SUM(AA35:AA37)</f>
        <v>0</v>
      </c>
      <c r="AB34" s="577"/>
      <c r="AC34" s="577">
        <f>SUM(AC35:AC37)</f>
        <v>0</v>
      </c>
      <c r="AD34" s="699"/>
      <c r="AE34" s="512"/>
      <c r="AF34" s="520"/>
      <c r="AG34" s="521"/>
      <c r="AH34" s="522">
        <v>22691</v>
      </c>
      <c r="AI34" s="522"/>
      <c r="AJ34" s="513">
        <v>106.23302983559877</v>
      </c>
      <c r="AK34" s="514">
        <v>105.1948604625895</v>
      </c>
      <c r="AL34" s="513">
        <v>104.86113485125321</v>
      </c>
      <c r="AM34" s="512">
        <v>12</v>
      </c>
      <c r="AN34" s="512">
        <v>1000000</v>
      </c>
      <c r="AO34" s="512">
        <v>0.12</v>
      </c>
      <c r="AP34" s="523">
        <f t="shared" si="22"/>
        <v>0</v>
      </c>
      <c r="AQ34" s="523">
        <f t="shared" si="19"/>
        <v>0</v>
      </c>
      <c r="AR34" s="523">
        <f t="shared" si="20"/>
        <v>0</v>
      </c>
      <c r="AS34" s="512">
        <v>0.18</v>
      </c>
      <c r="AT34" s="523">
        <f t="shared" si="18"/>
        <v>0.096498</v>
      </c>
    </row>
    <row r="35" spans="1:46" s="524" customFormat="1" ht="23.25" customHeight="1">
      <c r="A35" s="834"/>
      <c r="B35" s="820"/>
      <c r="C35" s="820"/>
      <c r="D35" s="568">
        <v>2013</v>
      </c>
      <c r="E35" s="578">
        <f t="shared" si="16"/>
        <v>0.8935000000000001</v>
      </c>
      <c r="F35" s="578"/>
      <c r="G35" s="570">
        <v>0.671</v>
      </c>
      <c r="H35" s="686"/>
      <c r="I35" s="692">
        <v>0.2225</v>
      </c>
      <c r="J35" s="692"/>
      <c r="K35" s="570">
        <v>0</v>
      </c>
      <c r="L35" s="570"/>
      <c r="M35" s="570">
        <v>0</v>
      </c>
      <c r="N35" s="686"/>
      <c r="O35" s="570">
        <v>0</v>
      </c>
      <c r="P35" s="570"/>
      <c r="Q35" s="570">
        <v>0</v>
      </c>
      <c r="R35" s="570"/>
      <c r="S35" s="817"/>
      <c r="T35" s="819"/>
      <c r="U35" s="493">
        <f>AE35</f>
        <v>0</v>
      </c>
      <c r="V35" s="493"/>
      <c r="W35" s="577">
        <f>SUM(Y35:AC35)</f>
        <v>0.096498</v>
      </c>
      <c r="X35" s="577"/>
      <c r="Y35" s="577">
        <f>AT35</f>
        <v>0.096498</v>
      </c>
      <c r="Z35" s="577"/>
      <c r="AA35" s="577">
        <f>AR35</f>
        <v>0</v>
      </c>
      <c r="AB35" s="577"/>
      <c r="AC35" s="577">
        <f>AQ35</f>
        <v>0</v>
      </c>
      <c r="AD35" s="699"/>
      <c r="AE35" s="512">
        <f t="shared" si="21"/>
        <v>0</v>
      </c>
      <c r="AF35" s="520">
        <v>0</v>
      </c>
      <c r="AG35" s="521"/>
      <c r="AH35" s="522">
        <v>22691</v>
      </c>
      <c r="AI35" s="522"/>
      <c r="AJ35" s="513">
        <v>106.23302983559877</v>
      </c>
      <c r="AK35" s="514">
        <v>105.1948604625895</v>
      </c>
      <c r="AL35" s="513">
        <v>104.86113485125321</v>
      </c>
      <c r="AM35" s="512">
        <v>12</v>
      </c>
      <c r="AN35" s="512">
        <v>1000000</v>
      </c>
      <c r="AO35" s="512">
        <v>0.12</v>
      </c>
      <c r="AP35" s="523">
        <f t="shared" si="22"/>
        <v>0</v>
      </c>
      <c r="AQ35" s="523">
        <f t="shared" si="19"/>
        <v>0</v>
      </c>
      <c r="AR35" s="523">
        <f t="shared" si="20"/>
        <v>0</v>
      </c>
      <c r="AS35" s="512">
        <v>0.18</v>
      </c>
      <c r="AT35" s="523">
        <f t="shared" si="18"/>
        <v>0.096498</v>
      </c>
    </row>
    <row r="36" spans="1:46" s="524" customFormat="1" ht="23.25" customHeight="1">
      <c r="A36" s="834"/>
      <c r="B36" s="820"/>
      <c r="C36" s="820"/>
      <c r="D36" s="491">
        <v>2014</v>
      </c>
      <c r="E36" s="578">
        <f t="shared" si="16"/>
        <v>0</v>
      </c>
      <c r="F36" s="578"/>
      <c r="G36" s="570">
        <v>0</v>
      </c>
      <c r="H36" s="686"/>
      <c r="I36" s="692">
        <v>0</v>
      </c>
      <c r="J36" s="692"/>
      <c r="K36" s="570">
        <v>0</v>
      </c>
      <c r="L36" s="570"/>
      <c r="M36" s="570">
        <v>0</v>
      </c>
      <c r="N36" s="686"/>
      <c r="O36" s="570">
        <v>0</v>
      </c>
      <c r="P36" s="570"/>
      <c r="Q36" s="570">
        <v>0</v>
      </c>
      <c r="R36" s="570"/>
      <c r="S36" s="817"/>
      <c r="T36" s="819"/>
      <c r="U36" s="493">
        <f>AE36</f>
        <v>0</v>
      </c>
      <c r="V36" s="493"/>
      <c r="W36" s="577">
        <f>SUM(Y36:AC36)</f>
        <v>0</v>
      </c>
      <c r="X36" s="577"/>
      <c r="Y36" s="577">
        <f>AT36</f>
        <v>0</v>
      </c>
      <c r="Z36" s="577"/>
      <c r="AA36" s="577">
        <f>AR36</f>
        <v>0</v>
      </c>
      <c r="AB36" s="577"/>
      <c r="AC36" s="577">
        <f>AQ36</f>
        <v>0</v>
      </c>
      <c r="AD36" s="699"/>
      <c r="AE36" s="512">
        <f t="shared" si="21"/>
        <v>0</v>
      </c>
      <c r="AF36" s="520">
        <v>0</v>
      </c>
      <c r="AG36" s="521"/>
      <c r="AH36" s="522">
        <v>22691</v>
      </c>
      <c r="AI36" s="522"/>
      <c r="AJ36" s="513">
        <v>106.23302983559877</v>
      </c>
      <c r="AK36" s="514">
        <v>105.1948604625895</v>
      </c>
      <c r="AL36" s="513">
        <v>104.86113485125321</v>
      </c>
      <c r="AM36" s="512">
        <v>12</v>
      </c>
      <c r="AN36" s="512">
        <v>1000000</v>
      </c>
      <c r="AO36" s="512">
        <v>0.12</v>
      </c>
      <c r="AP36" s="523">
        <f t="shared" si="22"/>
        <v>0</v>
      </c>
      <c r="AQ36" s="523">
        <f t="shared" si="19"/>
        <v>0</v>
      </c>
      <c r="AR36" s="523">
        <f t="shared" si="20"/>
        <v>0</v>
      </c>
      <c r="AS36" s="512">
        <v>0.18</v>
      </c>
      <c r="AT36" s="523">
        <f t="shared" si="18"/>
        <v>0</v>
      </c>
    </row>
    <row r="37" spans="1:46" s="716" customFormat="1" ht="23.25" customHeight="1">
      <c r="A37" s="834"/>
      <c r="B37" s="820"/>
      <c r="C37" s="820"/>
      <c r="D37" s="647">
        <v>2015</v>
      </c>
      <c r="E37" s="650">
        <f t="shared" si="16"/>
        <v>0</v>
      </c>
      <c r="F37" s="650"/>
      <c r="G37" s="711">
        <v>0</v>
      </c>
      <c r="H37" s="712"/>
      <c r="I37" s="713">
        <v>0</v>
      </c>
      <c r="J37" s="713"/>
      <c r="K37" s="711">
        <v>0</v>
      </c>
      <c r="L37" s="711"/>
      <c r="M37" s="711">
        <v>0</v>
      </c>
      <c r="N37" s="712"/>
      <c r="O37" s="711">
        <v>0</v>
      </c>
      <c r="P37" s="711"/>
      <c r="Q37" s="711">
        <v>0</v>
      </c>
      <c r="R37" s="711"/>
      <c r="S37" s="817"/>
      <c r="T37" s="819"/>
      <c r="U37" s="637">
        <f>AE37</f>
        <v>0</v>
      </c>
      <c r="V37" s="637"/>
      <c r="W37" s="646">
        <f>SUM(Y37:AC37)</f>
        <v>0</v>
      </c>
      <c r="X37" s="646"/>
      <c r="Y37" s="646">
        <f>AT37</f>
        <v>0</v>
      </c>
      <c r="Z37" s="646"/>
      <c r="AA37" s="646">
        <f>AR37</f>
        <v>0</v>
      </c>
      <c r="AB37" s="646"/>
      <c r="AC37" s="646">
        <f>AQ37</f>
        <v>0</v>
      </c>
      <c r="AD37" s="714"/>
      <c r="AE37" s="638">
        <f t="shared" si="21"/>
        <v>0</v>
      </c>
      <c r="AF37" s="639">
        <v>0</v>
      </c>
      <c r="AG37" s="715"/>
      <c r="AH37" s="640">
        <v>22691</v>
      </c>
      <c r="AI37" s="640"/>
      <c r="AJ37" s="641">
        <v>106.23302983559877</v>
      </c>
      <c r="AK37" s="642">
        <v>105.1948604625895</v>
      </c>
      <c r="AL37" s="641">
        <v>104.86113485125321</v>
      </c>
      <c r="AM37" s="638">
        <v>12</v>
      </c>
      <c r="AN37" s="638">
        <v>1000000</v>
      </c>
      <c r="AO37" s="638">
        <v>0.12</v>
      </c>
      <c r="AP37" s="643">
        <f t="shared" si="22"/>
        <v>0</v>
      </c>
      <c r="AQ37" s="643">
        <f t="shared" si="19"/>
        <v>0</v>
      </c>
      <c r="AR37" s="643">
        <f t="shared" si="20"/>
        <v>0</v>
      </c>
      <c r="AS37" s="638">
        <v>0.18</v>
      </c>
      <c r="AT37" s="643">
        <f t="shared" si="18"/>
        <v>0</v>
      </c>
    </row>
    <row r="38" spans="1:46" s="524" customFormat="1" ht="30" customHeight="1">
      <c r="A38" s="834" t="s">
        <v>415</v>
      </c>
      <c r="B38" s="820" t="s">
        <v>407</v>
      </c>
      <c r="C38" s="820"/>
      <c r="D38" s="568" t="s">
        <v>273</v>
      </c>
      <c r="E38" s="578">
        <f t="shared" si="16"/>
        <v>39.239000000000004</v>
      </c>
      <c r="F38" s="578"/>
      <c r="G38" s="569">
        <f aca="true" t="shared" si="26" ref="G38:Q38">SUM(G39:G41)</f>
        <v>36.353</v>
      </c>
      <c r="H38" s="586"/>
      <c r="I38" s="578">
        <f t="shared" si="26"/>
        <v>2.886</v>
      </c>
      <c r="J38" s="578"/>
      <c r="K38" s="569">
        <f t="shared" si="26"/>
        <v>0</v>
      </c>
      <c r="L38" s="569"/>
      <c r="M38" s="569">
        <f t="shared" si="26"/>
        <v>0</v>
      </c>
      <c r="N38" s="586"/>
      <c r="O38" s="569">
        <f t="shared" si="26"/>
        <v>0</v>
      </c>
      <c r="P38" s="569"/>
      <c r="Q38" s="569">
        <f t="shared" si="26"/>
        <v>0</v>
      </c>
      <c r="R38" s="569"/>
      <c r="S38" s="817"/>
      <c r="T38" s="819" t="s">
        <v>408</v>
      </c>
      <c r="U38" s="493">
        <f>SUM(U39:U41)</f>
        <v>0</v>
      </c>
      <c r="V38" s="493"/>
      <c r="W38" s="577">
        <f>SUM(W39:W41)</f>
        <v>4.237812</v>
      </c>
      <c r="X38" s="577"/>
      <c r="Y38" s="577">
        <f>SUM(Y39:Y41)</f>
        <v>4.237812</v>
      </c>
      <c r="Z38" s="577"/>
      <c r="AA38" s="577">
        <f>SUM(AA39:AA41)</f>
        <v>0</v>
      </c>
      <c r="AB38" s="577"/>
      <c r="AC38" s="577">
        <f>SUM(AC39:AC41)</f>
        <v>0</v>
      </c>
      <c r="AD38" s="699"/>
      <c r="AE38" s="512"/>
      <c r="AF38" s="520"/>
      <c r="AG38" s="521"/>
      <c r="AH38" s="522">
        <v>22691</v>
      </c>
      <c r="AI38" s="522"/>
      <c r="AJ38" s="513">
        <v>106.23302983559877</v>
      </c>
      <c r="AK38" s="514">
        <v>105.1948604625895</v>
      </c>
      <c r="AL38" s="513">
        <v>104.86113485125321</v>
      </c>
      <c r="AM38" s="512">
        <v>12</v>
      </c>
      <c r="AN38" s="512">
        <v>1000000</v>
      </c>
      <c r="AO38" s="512">
        <v>0.12</v>
      </c>
      <c r="AP38" s="523">
        <f t="shared" si="22"/>
        <v>0</v>
      </c>
      <c r="AQ38" s="523">
        <f t="shared" si="19"/>
        <v>0</v>
      </c>
      <c r="AR38" s="523">
        <f t="shared" si="20"/>
        <v>0</v>
      </c>
      <c r="AS38" s="512">
        <v>0.18</v>
      </c>
      <c r="AT38" s="523">
        <f t="shared" si="18"/>
        <v>4.237812</v>
      </c>
    </row>
    <row r="39" spans="1:46" s="524" customFormat="1" ht="30" customHeight="1">
      <c r="A39" s="834"/>
      <c r="B39" s="820"/>
      <c r="C39" s="820"/>
      <c r="D39" s="568">
        <v>2013</v>
      </c>
      <c r="E39" s="578">
        <f>G39+I39+K39+M39+O39+Q39</f>
        <v>39.239000000000004</v>
      </c>
      <c r="F39" s="578">
        <v>14</v>
      </c>
      <c r="G39" s="570">
        <v>36.353</v>
      </c>
      <c r="H39" s="686"/>
      <c r="I39" s="692">
        <v>2.886</v>
      </c>
      <c r="J39" s="692">
        <v>14</v>
      </c>
      <c r="K39" s="570">
        <v>0</v>
      </c>
      <c r="L39" s="570"/>
      <c r="M39" s="570">
        <v>0</v>
      </c>
      <c r="N39" s="686"/>
      <c r="O39" s="570">
        <v>0</v>
      </c>
      <c r="P39" s="570"/>
      <c r="Q39" s="570">
        <v>0</v>
      </c>
      <c r="R39" s="570"/>
      <c r="S39" s="817"/>
      <c r="T39" s="819"/>
      <c r="U39" s="493">
        <f>AE39</f>
        <v>0</v>
      </c>
      <c r="V39" s="493"/>
      <c r="W39" s="577">
        <f>SUM(Y39:AC39)</f>
        <v>4.237812</v>
      </c>
      <c r="X39" s="577"/>
      <c r="Y39" s="577">
        <f>AT39</f>
        <v>4.237812</v>
      </c>
      <c r="Z39" s="577"/>
      <c r="AA39" s="577">
        <f>AR39</f>
        <v>0</v>
      </c>
      <c r="AB39" s="577"/>
      <c r="AC39" s="577">
        <f>AQ39</f>
        <v>0</v>
      </c>
      <c r="AD39" s="699"/>
      <c r="AE39" s="512">
        <f t="shared" si="21"/>
        <v>0</v>
      </c>
      <c r="AF39" s="520">
        <v>0</v>
      </c>
      <c r="AG39" s="521"/>
      <c r="AH39" s="522">
        <v>22691</v>
      </c>
      <c r="AI39" s="522"/>
      <c r="AJ39" s="513">
        <v>106.23302983559877</v>
      </c>
      <c r="AK39" s="514">
        <v>105.1948604625895</v>
      </c>
      <c r="AL39" s="513">
        <v>104.86113485125321</v>
      </c>
      <c r="AM39" s="512">
        <v>12</v>
      </c>
      <c r="AN39" s="512">
        <v>1000000</v>
      </c>
      <c r="AO39" s="512">
        <v>0.12</v>
      </c>
      <c r="AP39" s="523">
        <f t="shared" si="22"/>
        <v>0</v>
      </c>
      <c r="AQ39" s="523">
        <f t="shared" si="19"/>
        <v>0</v>
      </c>
      <c r="AR39" s="523">
        <f t="shared" si="20"/>
        <v>0</v>
      </c>
      <c r="AS39" s="512">
        <v>0.18</v>
      </c>
      <c r="AT39" s="523">
        <f t="shared" si="18"/>
        <v>4.237812</v>
      </c>
    </row>
    <row r="40" spans="1:46" s="524" customFormat="1" ht="30" customHeight="1">
      <c r="A40" s="834"/>
      <c r="B40" s="820"/>
      <c r="C40" s="820"/>
      <c r="D40" s="491">
        <v>2014</v>
      </c>
      <c r="E40" s="578">
        <f t="shared" si="16"/>
        <v>0</v>
      </c>
      <c r="F40" s="578"/>
      <c r="G40" s="570">
        <v>0</v>
      </c>
      <c r="H40" s="686"/>
      <c r="I40" s="692">
        <v>0</v>
      </c>
      <c r="J40" s="692"/>
      <c r="K40" s="570">
        <v>0</v>
      </c>
      <c r="L40" s="570"/>
      <c r="M40" s="570">
        <v>0</v>
      </c>
      <c r="N40" s="686"/>
      <c r="O40" s="570">
        <v>0</v>
      </c>
      <c r="P40" s="570"/>
      <c r="Q40" s="570">
        <v>0</v>
      </c>
      <c r="R40" s="570"/>
      <c r="S40" s="817"/>
      <c r="T40" s="819"/>
      <c r="U40" s="493">
        <f>AE40</f>
        <v>0</v>
      </c>
      <c r="V40" s="493"/>
      <c r="W40" s="577">
        <f>SUM(Y40:AC40)</f>
        <v>0</v>
      </c>
      <c r="X40" s="577"/>
      <c r="Y40" s="577">
        <f>AT40</f>
        <v>0</v>
      </c>
      <c r="Z40" s="577"/>
      <c r="AA40" s="577">
        <f>AR40</f>
        <v>0</v>
      </c>
      <c r="AB40" s="577"/>
      <c r="AC40" s="577">
        <f>AQ40</f>
        <v>0</v>
      </c>
      <c r="AD40" s="699"/>
      <c r="AE40" s="512">
        <f t="shared" si="21"/>
        <v>0</v>
      </c>
      <c r="AF40" s="520">
        <v>0</v>
      </c>
      <c r="AG40" s="521"/>
      <c r="AH40" s="522">
        <v>22691</v>
      </c>
      <c r="AI40" s="522"/>
      <c r="AJ40" s="513">
        <v>106.23302983559877</v>
      </c>
      <c r="AK40" s="514">
        <v>105.1948604625895</v>
      </c>
      <c r="AL40" s="513">
        <v>104.86113485125321</v>
      </c>
      <c r="AM40" s="512">
        <v>12</v>
      </c>
      <c r="AN40" s="512">
        <v>1000000</v>
      </c>
      <c r="AO40" s="512">
        <v>0.12</v>
      </c>
      <c r="AP40" s="523">
        <f t="shared" si="22"/>
        <v>0</v>
      </c>
      <c r="AQ40" s="523">
        <f t="shared" si="19"/>
        <v>0</v>
      </c>
      <c r="AR40" s="523">
        <f t="shared" si="20"/>
        <v>0</v>
      </c>
      <c r="AS40" s="512">
        <v>0.18</v>
      </c>
      <c r="AT40" s="523">
        <f t="shared" si="18"/>
        <v>0</v>
      </c>
    </row>
    <row r="41" spans="1:46" s="716" customFormat="1" ht="30" customHeight="1">
      <c r="A41" s="834"/>
      <c r="B41" s="820"/>
      <c r="C41" s="820"/>
      <c r="D41" s="647">
        <v>2015</v>
      </c>
      <c r="E41" s="650">
        <f t="shared" si="16"/>
        <v>0</v>
      </c>
      <c r="F41" s="650"/>
      <c r="G41" s="711">
        <v>0</v>
      </c>
      <c r="H41" s="712"/>
      <c r="I41" s="713">
        <v>0</v>
      </c>
      <c r="J41" s="713"/>
      <c r="K41" s="711">
        <v>0</v>
      </c>
      <c r="L41" s="711"/>
      <c r="M41" s="711">
        <v>0</v>
      </c>
      <c r="N41" s="712"/>
      <c r="O41" s="711">
        <v>0</v>
      </c>
      <c r="P41" s="711"/>
      <c r="Q41" s="711">
        <v>0</v>
      </c>
      <c r="R41" s="711"/>
      <c r="S41" s="817"/>
      <c r="T41" s="819"/>
      <c r="U41" s="637">
        <f>AE41</f>
        <v>0</v>
      </c>
      <c r="V41" s="637"/>
      <c r="W41" s="646">
        <f>SUM(Y41:AC41)</f>
        <v>0</v>
      </c>
      <c r="X41" s="646"/>
      <c r="Y41" s="646">
        <f>AT41</f>
        <v>0</v>
      </c>
      <c r="Z41" s="646"/>
      <c r="AA41" s="646">
        <f>AR41</f>
        <v>0</v>
      </c>
      <c r="AB41" s="646"/>
      <c r="AC41" s="646">
        <f>AQ41</f>
        <v>0</v>
      </c>
      <c r="AD41" s="714"/>
      <c r="AE41" s="638">
        <f t="shared" si="21"/>
        <v>0</v>
      </c>
      <c r="AF41" s="639">
        <v>0</v>
      </c>
      <c r="AG41" s="715"/>
      <c r="AH41" s="640">
        <v>22691</v>
      </c>
      <c r="AI41" s="640"/>
      <c r="AJ41" s="641">
        <v>106.23302983559877</v>
      </c>
      <c r="AK41" s="642">
        <v>105.1948604625895</v>
      </c>
      <c r="AL41" s="641">
        <v>104.86113485125321</v>
      </c>
      <c r="AM41" s="638">
        <v>12</v>
      </c>
      <c r="AN41" s="638">
        <v>1000000</v>
      </c>
      <c r="AO41" s="638">
        <v>0.12</v>
      </c>
      <c r="AP41" s="643">
        <f t="shared" si="22"/>
        <v>0</v>
      </c>
      <c r="AQ41" s="643">
        <f t="shared" si="19"/>
        <v>0</v>
      </c>
      <c r="AR41" s="643">
        <f t="shared" si="20"/>
        <v>0</v>
      </c>
      <c r="AS41" s="638">
        <v>0.18</v>
      </c>
      <c r="AT41" s="643">
        <f t="shared" si="18"/>
        <v>0</v>
      </c>
    </row>
    <row r="42" spans="1:46" s="524" customFormat="1" ht="23.25" customHeight="1">
      <c r="A42" s="834" t="s">
        <v>416</v>
      </c>
      <c r="B42" s="820" t="s">
        <v>409</v>
      </c>
      <c r="C42" s="820"/>
      <c r="D42" s="568" t="s">
        <v>273</v>
      </c>
      <c r="E42" s="578">
        <f t="shared" si="16"/>
        <v>240.91</v>
      </c>
      <c r="F42" s="578"/>
      <c r="G42" s="569">
        <f aca="true" t="shared" si="27" ref="G42:Q42">SUM(G43:G45)</f>
        <v>174.403</v>
      </c>
      <c r="H42" s="586"/>
      <c r="I42" s="578">
        <f t="shared" si="27"/>
        <v>23.299</v>
      </c>
      <c r="J42" s="578"/>
      <c r="K42" s="569">
        <f t="shared" si="27"/>
        <v>0</v>
      </c>
      <c r="L42" s="569"/>
      <c r="M42" s="569">
        <f t="shared" si="27"/>
        <v>43.208</v>
      </c>
      <c r="N42" s="586"/>
      <c r="O42" s="569">
        <f t="shared" si="27"/>
        <v>0</v>
      </c>
      <c r="P42" s="569"/>
      <c r="Q42" s="569">
        <f t="shared" si="27"/>
        <v>0</v>
      </c>
      <c r="R42" s="569"/>
      <c r="S42" s="817"/>
      <c r="T42" s="819" t="s">
        <v>410</v>
      </c>
      <c r="U42" s="493">
        <f>SUM(U43:U45)</f>
        <v>0</v>
      </c>
      <c r="V42" s="493"/>
      <c r="W42" s="577">
        <f>SUM(W43:W45)</f>
        <v>26.018279999999997</v>
      </c>
      <c r="X42" s="577"/>
      <c r="Y42" s="577">
        <f>SUM(Y43:Y45)</f>
        <v>26.018279999999997</v>
      </c>
      <c r="Z42" s="577"/>
      <c r="AA42" s="577">
        <f>SUM(AA43:AA45)</f>
        <v>0</v>
      </c>
      <c r="AB42" s="577"/>
      <c r="AC42" s="577">
        <f>SUM(AC43:AC45)</f>
        <v>0</v>
      </c>
      <c r="AD42" s="699"/>
      <c r="AE42" s="512"/>
      <c r="AF42" s="520"/>
      <c r="AG42" s="521"/>
      <c r="AH42" s="522">
        <v>22691</v>
      </c>
      <c r="AI42" s="522"/>
      <c r="AJ42" s="513">
        <v>106.23302983559877</v>
      </c>
      <c r="AK42" s="514">
        <v>105.1948604625895</v>
      </c>
      <c r="AL42" s="513">
        <v>104.86113485125321</v>
      </c>
      <c r="AM42" s="512">
        <v>12</v>
      </c>
      <c r="AN42" s="512">
        <v>1000000</v>
      </c>
      <c r="AO42" s="512">
        <v>0.12</v>
      </c>
      <c r="AP42" s="523">
        <f t="shared" si="22"/>
        <v>0</v>
      </c>
      <c r="AQ42" s="523">
        <f t="shared" si="19"/>
        <v>0</v>
      </c>
      <c r="AR42" s="523">
        <f t="shared" si="20"/>
        <v>0</v>
      </c>
      <c r="AS42" s="512">
        <v>0.18</v>
      </c>
      <c r="AT42" s="523">
        <f t="shared" si="18"/>
        <v>26.018279999999997</v>
      </c>
    </row>
    <row r="43" spans="1:46" s="524" customFormat="1" ht="23.25" customHeight="1">
      <c r="A43" s="834"/>
      <c r="B43" s="820"/>
      <c r="C43" s="820"/>
      <c r="D43" s="568">
        <v>2013</v>
      </c>
      <c r="E43" s="578">
        <f t="shared" si="16"/>
        <v>240.91</v>
      </c>
      <c r="F43" s="578"/>
      <c r="G43" s="570">
        <v>174.403</v>
      </c>
      <c r="H43" s="686"/>
      <c r="I43" s="692">
        <v>23.299</v>
      </c>
      <c r="J43" s="692"/>
      <c r="K43" s="570">
        <v>0</v>
      </c>
      <c r="L43" s="570"/>
      <c r="M43" s="570">
        <v>43.208</v>
      </c>
      <c r="N43" s="686"/>
      <c r="O43" s="570">
        <v>0</v>
      </c>
      <c r="P43" s="570"/>
      <c r="Q43" s="570">
        <v>0</v>
      </c>
      <c r="R43" s="570"/>
      <c r="S43" s="817"/>
      <c r="T43" s="819"/>
      <c r="U43" s="493">
        <f>AE43</f>
        <v>0</v>
      </c>
      <c r="V43" s="493"/>
      <c r="W43" s="577">
        <f>SUM(Y43:AC43)</f>
        <v>26.018279999999997</v>
      </c>
      <c r="X43" s="577"/>
      <c r="Y43" s="577">
        <f>AT43</f>
        <v>26.018279999999997</v>
      </c>
      <c r="Z43" s="577"/>
      <c r="AA43" s="577">
        <f>AR43</f>
        <v>0</v>
      </c>
      <c r="AB43" s="577"/>
      <c r="AC43" s="577">
        <f>AQ43</f>
        <v>0</v>
      </c>
      <c r="AD43" s="699"/>
      <c r="AE43" s="512">
        <f t="shared" si="21"/>
        <v>0</v>
      </c>
      <c r="AF43" s="520">
        <v>0</v>
      </c>
      <c r="AG43" s="521"/>
      <c r="AH43" s="522">
        <v>22691</v>
      </c>
      <c r="AI43" s="522"/>
      <c r="AJ43" s="513">
        <v>106.23302983559877</v>
      </c>
      <c r="AK43" s="514">
        <v>105.1948604625895</v>
      </c>
      <c r="AL43" s="513">
        <v>104.86113485125321</v>
      </c>
      <c r="AM43" s="512">
        <v>12</v>
      </c>
      <c r="AN43" s="512">
        <v>1000000</v>
      </c>
      <c r="AO43" s="512">
        <v>0.12</v>
      </c>
      <c r="AP43" s="523">
        <f t="shared" si="22"/>
        <v>0</v>
      </c>
      <c r="AQ43" s="523">
        <f t="shared" si="19"/>
        <v>0</v>
      </c>
      <c r="AR43" s="523">
        <f t="shared" si="20"/>
        <v>0</v>
      </c>
      <c r="AS43" s="512">
        <v>0.18</v>
      </c>
      <c r="AT43" s="523">
        <f t="shared" si="18"/>
        <v>26.018279999999997</v>
      </c>
    </row>
    <row r="44" spans="1:46" s="524" customFormat="1" ht="23.25" customHeight="1">
      <c r="A44" s="834"/>
      <c r="B44" s="820"/>
      <c r="C44" s="820"/>
      <c r="D44" s="491">
        <v>2014</v>
      </c>
      <c r="E44" s="578">
        <f t="shared" si="16"/>
        <v>0</v>
      </c>
      <c r="F44" s="578"/>
      <c r="G44" s="570">
        <v>0</v>
      </c>
      <c r="H44" s="686"/>
      <c r="I44" s="692">
        <v>0</v>
      </c>
      <c r="J44" s="692"/>
      <c r="K44" s="570">
        <v>0</v>
      </c>
      <c r="L44" s="570"/>
      <c r="M44" s="570">
        <v>0</v>
      </c>
      <c r="N44" s="686"/>
      <c r="O44" s="570">
        <v>0</v>
      </c>
      <c r="P44" s="570"/>
      <c r="Q44" s="570">
        <v>0</v>
      </c>
      <c r="R44" s="570"/>
      <c r="S44" s="817"/>
      <c r="T44" s="819"/>
      <c r="U44" s="493">
        <f>AE44</f>
        <v>0</v>
      </c>
      <c r="V44" s="493"/>
      <c r="W44" s="577">
        <f>SUM(Y44:AC44)</f>
        <v>0</v>
      </c>
      <c r="X44" s="577"/>
      <c r="Y44" s="577">
        <f>AT44</f>
        <v>0</v>
      </c>
      <c r="Z44" s="577"/>
      <c r="AA44" s="577">
        <f>AR44</f>
        <v>0</v>
      </c>
      <c r="AB44" s="577"/>
      <c r="AC44" s="577">
        <f>AQ44</f>
        <v>0</v>
      </c>
      <c r="AD44" s="699"/>
      <c r="AE44" s="512">
        <f t="shared" si="21"/>
        <v>0</v>
      </c>
      <c r="AF44" s="520">
        <v>0</v>
      </c>
      <c r="AG44" s="521"/>
      <c r="AH44" s="522">
        <v>22691</v>
      </c>
      <c r="AI44" s="522"/>
      <c r="AJ44" s="513">
        <v>106.23302983559877</v>
      </c>
      <c r="AK44" s="514">
        <v>105.1948604625895</v>
      </c>
      <c r="AL44" s="513">
        <v>104.86113485125321</v>
      </c>
      <c r="AM44" s="512">
        <v>12</v>
      </c>
      <c r="AN44" s="512">
        <v>1000000</v>
      </c>
      <c r="AO44" s="512">
        <v>0.12</v>
      </c>
      <c r="AP44" s="523">
        <f t="shared" si="22"/>
        <v>0</v>
      </c>
      <c r="AQ44" s="523">
        <f t="shared" si="19"/>
        <v>0</v>
      </c>
      <c r="AR44" s="523">
        <f t="shared" si="20"/>
        <v>0</v>
      </c>
      <c r="AS44" s="512">
        <v>0.18</v>
      </c>
      <c r="AT44" s="523">
        <f t="shared" si="18"/>
        <v>0</v>
      </c>
    </row>
    <row r="45" spans="1:46" s="716" customFormat="1" ht="24" customHeight="1">
      <c r="A45" s="834"/>
      <c r="B45" s="820"/>
      <c r="C45" s="820"/>
      <c r="D45" s="647">
        <v>2015</v>
      </c>
      <c r="E45" s="650">
        <f t="shared" si="16"/>
        <v>0</v>
      </c>
      <c r="F45" s="650"/>
      <c r="G45" s="711">
        <v>0</v>
      </c>
      <c r="H45" s="712"/>
      <c r="I45" s="713">
        <v>0</v>
      </c>
      <c r="J45" s="713"/>
      <c r="K45" s="711">
        <v>0</v>
      </c>
      <c r="L45" s="711"/>
      <c r="M45" s="711">
        <v>0</v>
      </c>
      <c r="N45" s="712"/>
      <c r="O45" s="711">
        <v>0</v>
      </c>
      <c r="P45" s="711"/>
      <c r="Q45" s="711">
        <v>0</v>
      </c>
      <c r="R45" s="711"/>
      <c r="S45" s="817"/>
      <c r="T45" s="819"/>
      <c r="U45" s="637">
        <f>AE45</f>
        <v>0</v>
      </c>
      <c r="V45" s="637"/>
      <c r="W45" s="646">
        <f>SUM(Y45:AC45)</f>
        <v>0</v>
      </c>
      <c r="X45" s="646"/>
      <c r="Y45" s="646">
        <f>AT45</f>
        <v>0</v>
      </c>
      <c r="Z45" s="646"/>
      <c r="AA45" s="646">
        <f>AR45</f>
        <v>0</v>
      </c>
      <c r="AB45" s="646"/>
      <c r="AC45" s="646">
        <f>AQ45</f>
        <v>0</v>
      </c>
      <c r="AD45" s="714"/>
      <c r="AE45" s="638">
        <f t="shared" si="21"/>
        <v>0</v>
      </c>
      <c r="AF45" s="639">
        <v>0</v>
      </c>
      <c r="AG45" s="715"/>
      <c r="AH45" s="640">
        <v>22691</v>
      </c>
      <c r="AI45" s="640"/>
      <c r="AJ45" s="641">
        <v>106.23302983559877</v>
      </c>
      <c r="AK45" s="642">
        <v>105.1948604625895</v>
      </c>
      <c r="AL45" s="641">
        <v>104.86113485125321</v>
      </c>
      <c r="AM45" s="638">
        <v>12</v>
      </c>
      <c r="AN45" s="638">
        <v>1000000</v>
      </c>
      <c r="AO45" s="638">
        <v>0.12</v>
      </c>
      <c r="AP45" s="643">
        <f t="shared" si="22"/>
        <v>0</v>
      </c>
      <c r="AQ45" s="643">
        <f t="shared" si="19"/>
        <v>0</v>
      </c>
      <c r="AR45" s="643">
        <f t="shared" si="20"/>
        <v>0</v>
      </c>
      <c r="AS45" s="638">
        <v>0.18</v>
      </c>
      <c r="AT45" s="643">
        <f t="shared" si="18"/>
        <v>0</v>
      </c>
    </row>
    <row r="46" spans="1:46" ht="42.75" customHeight="1">
      <c r="A46" s="742">
        <v>2</v>
      </c>
      <c r="B46" s="742" t="s">
        <v>681</v>
      </c>
      <c r="C46" s="742" t="s">
        <v>348</v>
      </c>
      <c r="D46" s="568" t="s">
        <v>273</v>
      </c>
      <c r="E46" s="578">
        <f t="shared" si="16"/>
        <v>390</v>
      </c>
      <c r="F46" s="578"/>
      <c r="G46" s="569">
        <f aca="true" t="shared" si="28" ref="G46:Q46">SUM(G47:G49)</f>
        <v>0</v>
      </c>
      <c r="H46" s="586"/>
      <c r="I46" s="578">
        <f>SUM(I47:I49)</f>
        <v>90</v>
      </c>
      <c r="J46" s="578"/>
      <c r="K46" s="569">
        <f t="shared" si="28"/>
        <v>0</v>
      </c>
      <c r="L46" s="569"/>
      <c r="M46" s="569">
        <f t="shared" si="28"/>
        <v>250</v>
      </c>
      <c r="N46" s="586"/>
      <c r="O46" s="569">
        <f t="shared" si="28"/>
        <v>50</v>
      </c>
      <c r="P46" s="569"/>
      <c r="Q46" s="569">
        <f t="shared" si="28"/>
        <v>0</v>
      </c>
      <c r="R46" s="569"/>
      <c r="S46" s="742" t="s">
        <v>8</v>
      </c>
      <c r="T46" s="778" t="s">
        <v>145</v>
      </c>
      <c r="U46" s="493">
        <v>250</v>
      </c>
      <c r="V46" s="493"/>
      <c r="W46" s="577">
        <f>Y46+AA46+AC46</f>
        <v>50.728258516686324</v>
      </c>
      <c r="X46" s="577"/>
      <c r="Y46" s="577">
        <f>SUM(Y47:Y49)</f>
        <v>42.12</v>
      </c>
      <c r="Z46" s="577"/>
      <c r="AA46" s="577">
        <f>SUM(AA47:AA49)</f>
        <v>4.666536941895657</v>
      </c>
      <c r="AB46" s="577"/>
      <c r="AC46" s="577">
        <f>SUM(AC47:AC49)</f>
        <v>3.9417215747906686</v>
      </c>
      <c r="AD46" s="700"/>
      <c r="AF46" s="520"/>
      <c r="AH46" s="522">
        <v>22691</v>
      </c>
      <c r="AJ46" s="513">
        <v>106.23302983559877</v>
      </c>
      <c r="AK46" s="514">
        <v>105.1948604625895</v>
      </c>
      <c r="AL46" s="513">
        <v>104.86113485125321</v>
      </c>
      <c r="AM46" s="512">
        <v>12</v>
      </c>
      <c r="AN46" s="512">
        <v>1000000</v>
      </c>
      <c r="AO46" s="512">
        <v>0.12</v>
      </c>
      <c r="AP46" s="523">
        <f t="shared" si="22"/>
        <v>0</v>
      </c>
      <c r="AQ46" s="523">
        <f t="shared" si="19"/>
        <v>0</v>
      </c>
      <c r="AR46" s="523">
        <f t="shared" si="20"/>
        <v>0</v>
      </c>
      <c r="AS46" s="512">
        <v>0.18</v>
      </c>
      <c r="AT46" s="523">
        <f t="shared" si="18"/>
        <v>42.12</v>
      </c>
    </row>
    <row r="47" spans="1:46" ht="19.5" customHeight="1">
      <c r="A47" s="742"/>
      <c r="B47" s="742"/>
      <c r="C47" s="742"/>
      <c r="D47" s="489">
        <v>2013</v>
      </c>
      <c r="E47" s="578">
        <f>G47+I47+K47+M47+O47+Q47</f>
        <v>140</v>
      </c>
      <c r="F47" s="578">
        <v>33.8</v>
      </c>
      <c r="G47" s="569">
        <v>0</v>
      </c>
      <c r="H47" s="586"/>
      <c r="I47" s="577">
        <v>90</v>
      </c>
      <c r="J47" s="577"/>
      <c r="K47" s="569">
        <v>0</v>
      </c>
      <c r="L47" s="569"/>
      <c r="M47" s="492">
        <v>20</v>
      </c>
      <c r="N47" s="622">
        <v>12.2</v>
      </c>
      <c r="O47" s="492">
        <v>30</v>
      </c>
      <c r="P47" s="569">
        <v>21.6</v>
      </c>
      <c r="Q47" s="569">
        <v>0</v>
      </c>
      <c r="R47" s="569"/>
      <c r="S47" s="742"/>
      <c r="T47" s="778"/>
      <c r="U47" s="493">
        <f>AE47</f>
        <v>80</v>
      </c>
      <c r="V47" s="493">
        <v>7</v>
      </c>
      <c r="W47" s="577">
        <f>SUM(Y47:AC47)</f>
        <v>17.999434799359502</v>
      </c>
      <c r="X47" s="577">
        <f>Z47+AB47+AD47</f>
        <v>0.3605</v>
      </c>
      <c r="Y47" s="577">
        <f>AT47</f>
        <v>15.12</v>
      </c>
      <c r="Z47" s="577"/>
      <c r="AA47" s="577">
        <f>AR47</f>
        <v>1.5053763547327885</v>
      </c>
      <c r="AB47" s="577">
        <v>0.1025</v>
      </c>
      <c r="AC47" s="577">
        <f>AQ47</f>
        <v>1.2715584446267179</v>
      </c>
      <c r="AD47" s="700">
        <v>0.258</v>
      </c>
      <c r="AE47" s="512">
        <f t="shared" si="21"/>
        <v>80</v>
      </c>
      <c r="AF47" s="520">
        <v>80</v>
      </c>
      <c r="AH47" s="522">
        <v>22691</v>
      </c>
      <c r="AJ47" s="513">
        <v>106.23302983559877</v>
      </c>
      <c r="AK47" s="514">
        <v>105.1948604625895</v>
      </c>
      <c r="AL47" s="513">
        <v>104.86113485125321</v>
      </c>
      <c r="AM47" s="512">
        <v>12</v>
      </c>
      <c r="AN47" s="512">
        <v>1000000</v>
      </c>
      <c r="AO47" s="512">
        <v>0.12</v>
      </c>
      <c r="AP47" s="523">
        <f t="shared" si="22"/>
        <v>2.7769347993595064</v>
      </c>
      <c r="AQ47" s="523">
        <f t="shared" si="19"/>
        <v>1.2715584446267179</v>
      </c>
      <c r="AR47" s="523">
        <f t="shared" si="20"/>
        <v>1.5053763547327885</v>
      </c>
      <c r="AS47" s="512">
        <v>0.18</v>
      </c>
      <c r="AT47" s="523">
        <f t="shared" si="18"/>
        <v>15.12</v>
      </c>
    </row>
    <row r="48" spans="1:46" ht="19.5" customHeight="1">
      <c r="A48" s="742"/>
      <c r="B48" s="742"/>
      <c r="C48" s="742"/>
      <c r="D48" s="489">
        <v>2014</v>
      </c>
      <c r="E48" s="578">
        <v>70</v>
      </c>
      <c r="F48" s="578">
        <v>3.78</v>
      </c>
      <c r="G48" s="569">
        <v>0</v>
      </c>
      <c r="H48" s="586"/>
      <c r="I48" s="578">
        <v>0</v>
      </c>
      <c r="J48" s="578"/>
      <c r="K48" s="569">
        <v>0</v>
      </c>
      <c r="L48" s="569"/>
      <c r="M48" s="492">
        <v>50</v>
      </c>
      <c r="N48" s="622">
        <v>3.78</v>
      </c>
      <c r="O48" s="492">
        <v>20</v>
      </c>
      <c r="P48" s="492"/>
      <c r="Q48" s="569">
        <v>0</v>
      </c>
      <c r="R48" s="569"/>
      <c r="S48" s="742"/>
      <c r="T48" s="778"/>
      <c r="U48" s="493">
        <f>AE48</f>
        <v>60</v>
      </c>
      <c r="V48" s="493">
        <v>9</v>
      </c>
      <c r="W48" s="577">
        <v>9.622</v>
      </c>
      <c r="X48" s="577">
        <v>2.43</v>
      </c>
      <c r="Y48" s="577">
        <f>AT48</f>
        <v>7.56</v>
      </c>
      <c r="Z48" s="577">
        <v>0.68</v>
      </c>
      <c r="AA48" s="577">
        <f>AR48</f>
        <v>1.117998722889184</v>
      </c>
      <c r="AB48" s="577">
        <v>1.9</v>
      </c>
      <c r="AC48" s="577">
        <f>AQ48</f>
        <v>0.9443490411565343</v>
      </c>
      <c r="AD48" s="700">
        <v>0.25</v>
      </c>
      <c r="AE48" s="512">
        <f t="shared" si="21"/>
        <v>60</v>
      </c>
      <c r="AF48" s="520">
        <v>60</v>
      </c>
      <c r="AH48" s="522">
        <v>22691</v>
      </c>
      <c r="AJ48" s="513">
        <v>106.23302983559877</v>
      </c>
      <c r="AK48" s="514">
        <v>105.1948604625895</v>
      </c>
      <c r="AL48" s="513">
        <v>104.86113485125321</v>
      </c>
      <c r="AM48" s="512">
        <v>12</v>
      </c>
      <c r="AN48" s="512">
        <v>1000000</v>
      </c>
      <c r="AO48" s="512">
        <v>0.12</v>
      </c>
      <c r="AP48" s="523">
        <f>AE48*AH48*AK48%*AM48/AN48*AO48</f>
        <v>2.062347764045718</v>
      </c>
      <c r="AQ48" s="523">
        <f t="shared" si="19"/>
        <v>0.9443490411565343</v>
      </c>
      <c r="AR48" s="523">
        <f t="shared" si="20"/>
        <v>1.117998722889184</v>
      </c>
      <c r="AS48" s="512">
        <v>0.18</v>
      </c>
      <c r="AT48" s="523">
        <f t="shared" si="18"/>
        <v>7.56</v>
      </c>
    </row>
    <row r="49" spans="1:46" s="644" customFormat="1" ht="19.5" customHeight="1">
      <c r="A49" s="742"/>
      <c r="B49" s="742"/>
      <c r="C49" s="742"/>
      <c r="D49" s="633">
        <v>2015</v>
      </c>
      <c r="E49" s="650">
        <v>180</v>
      </c>
      <c r="F49" s="650">
        <v>6</v>
      </c>
      <c r="G49" s="634">
        <v>0</v>
      </c>
      <c r="H49" s="667"/>
      <c r="I49" s="650">
        <v>0</v>
      </c>
      <c r="J49" s="650"/>
      <c r="K49" s="634">
        <v>0</v>
      </c>
      <c r="L49" s="634"/>
      <c r="M49" s="635">
        <v>180</v>
      </c>
      <c r="N49" s="661"/>
      <c r="O49" s="635">
        <v>0</v>
      </c>
      <c r="P49" s="635">
        <v>6</v>
      </c>
      <c r="Q49" s="634">
        <v>0</v>
      </c>
      <c r="R49" s="634"/>
      <c r="S49" s="742"/>
      <c r="T49" s="778"/>
      <c r="U49" s="637">
        <f>AE49</f>
        <v>110</v>
      </c>
      <c r="V49" s="637"/>
      <c r="W49" s="646">
        <f>Y49+AA49+AC49</f>
        <v>23.2089759532811</v>
      </c>
      <c r="X49" s="646">
        <v>3.062</v>
      </c>
      <c r="Y49" s="646">
        <f>AT49</f>
        <v>19.439999999999998</v>
      </c>
      <c r="Z49" s="646">
        <v>0.126</v>
      </c>
      <c r="AA49" s="646">
        <f>AR49</f>
        <v>2.043161864273685</v>
      </c>
      <c r="AB49" s="646"/>
      <c r="AC49" s="646">
        <f>AQ49</f>
        <v>1.7258140890074165</v>
      </c>
      <c r="AD49" s="701"/>
      <c r="AE49" s="638">
        <f t="shared" si="21"/>
        <v>110</v>
      </c>
      <c r="AF49" s="639">
        <v>110</v>
      </c>
      <c r="AG49" s="638"/>
      <c r="AH49" s="640">
        <v>22691</v>
      </c>
      <c r="AI49" s="638"/>
      <c r="AJ49" s="641">
        <v>106.23302983559877</v>
      </c>
      <c r="AK49" s="642">
        <v>105.1948604625895</v>
      </c>
      <c r="AL49" s="641">
        <v>104.86113485125321</v>
      </c>
      <c r="AM49" s="638">
        <v>12</v>
      </c>
      <c r="AN49" s="638">
        <v>1000000</v>
      </c>
      <c r="AO49" s="638">
        <v>0.12</v>
      </c>
      <c r="AP49" s="643">
        <f>AE49*AH49*AL49%*AM49/AN49*AO49</f>
        <v>3.768975953281102</v>
      </c>
      <c r="AQ49" s="643">
        <f t="shared" si="19"/>
        <v>1.7258140890074165</v>
      </c>
      <c r="AR49" s="643">
        <f t="shared" si="20"/>
        <v>2.043161864273685</v>
      </c>
      <c r="AS49" s="638">
        <v>0.18</v>
      </c>
      <c r="AT49" s="643">
        <f t="shared" si="18"/>
        <v>19.439999999999998</v>
      </c>
    </row>
    <row r="50" spans="1:46" ht="19.5" customHeight="1">
      <c r="A50" s="742">
        <v>3</v>
      </c>
      <c r="B50" s="742" t="s">
        <v>430</v>
      </c>
      <c r="C50" s="742" t="s">
        <v>348</v>
      </c>
      <c r="D50" s="568" t="s">
        <v>273</v>
      </c>
      <c r="E50" s="578">
        <f aca="true" t="shared" si="29" ref="E50:E75">SUM(G50:Q50)</f>
        <v>60</v>
      </c>
      <c r="F50" s="578">
        <v>0</v>
      </c>
      <c r="G50" s="569">
        <f aca="true" t="shared" si="30" ref="G50:Q50">SUM(G51:G53)</f>
        <v>0</v>
      </c>
      <c r="H50" s="586"/>
      <c r="I50" s="578">
        <f t="shared" si="30"/>
        <v>0</v>
      </c>
      <c r="J50" s="578"/>
      <c r="K50" s="569">
        <f t="shared" si="30"/>
        <v>0</v>
      </c>
      <c r="L50" s="569"/>
      <c r="M50" s="569">
        <f t="shared" si="30"/>
        <v>60</v>
      </c>
      <c r="N50" s="586"/>
      <c r="O50" s="569">
        <f t="shared" si="30"/>
        <v>0</v>
      </c>
      <c r="P50" s="569"/>
      <c r="Q50" s="569">
        <f t="shared" si="30"/>
        <v>0</v>
      </c>
      <c r="R50" s="569"/>
      <c r="S50" s="742" t="s">
        <v>9</v>
      </c>
      <c r="T50" s="778" t="s">
        <v>848</v>
      </c>
      <c r="U50" s="493">
        <f>SUM(U51:U53)</f>
        <v>30</v>
      </c>
      <c r="V50" s="493"/>
      <c r="W50" s="577">
        <f>Y50+AA50+AC50</f>
        <v>7.5134756548318995</v>
      </c>
      <c r="X50" s="577"/>
      <c r="Y50" s="577">
        <f>SUM(Y51:Y53)</f>
        <v>6.4799999999999995</v>
      </c>
      <c r="Z50" s="577"/>
      <c r="AA50" s="577">
        <f>SUM(AA51:AA53)</f>
        <v>0.5602471524843734</v>
      </c>
      <c r="AB50" s="577"/>
      <c r="AC50" s="577">
        <f>SUM(AC51:AC53)</f>
        <v>0.4732285023475272</v>
      </c>
      <c r="AD50" s="700"/>
      <c r="AF50" s="520"/>
      <c r="AH50" s="522">
        <v>22691</v>
      </c>
      <c r="AJ50" s="513">
        <v>106.23302983559877</v>
      </c>
      <c r="AK50" s="514">
        <v>105.1948604625895</v>
      </c>
      <c r="AL50" s="513">
        <v>104.86113485125321</v>
      </c>
      <c r="AM50" s="512">
        <v>12</v>
      </c>
      <c r="AN50" s="512">
        <v>1000000</v>
      </c>
      <c r="AO50" s="512">
        <v>0.12</v>
      </c>
      <c r="AP50" s="523">
        <f t="shared" si="22"/>
        <v>0</v>
      </c>
      <c r="AQ50" s="523">
        <f t="shared" si="19"/>
        <v>0</v>
      </c>
      <c r="AR50" s="523">
        <f t="shared" si="20"/>
        <v>0</v>
      </c>
      <c r="AS50" s="512">
        <v>0.18</v>
      </c>
      <c r="AT50" s="523">
        <f t="shared" si="18"/>
        <v>6.4799999999999995</v>
      </c>
    </row>
    <row r="51" spans="1:46" ht="19.5" customHeight="1">
      <c r="A51" s="742"/>
      <c r="B51" s="742"/>
      <c r="C51" s="742"/>
      <c r="D51" s="489">
        <v>2013</v>
      </c>
      <c r="E51" s="578">
        <f>G51+I51+K51+M51+O51+Q51</f>
        <v>5</v>
      </c>
      <c r="F51" s="651"/>
      <c r="G51" s="569">
        <v>0</v>
      </c>
      <c r="H51" s="586"/>
      <c r="I51" s="578">
        <v>0</v>
      </c>
      <c r="J51" s="578"/>
      <c r="K51" s="569">
        <v>0</v>
      </c>
      <c r="L51" s="569"/>
      <c r="M51" s="492">
        <v>5</v>
      </c>
      <c r="N51" s="687"/>
      <c r="O51" s="569">
        <v>0</v>
      </c>
      <c r="P51" s="572"/>
      <c r="Q51" s="569">
        <v>0</v>
      </c>
      <c r="R51" s="569"/>
      <c r="S51" s="742"/>
      <c r="T51" s="778"/>
      <c r="U51" s="493">
        <f>AE51</f>
        <v>10</v>
      </c>
      <c r="V51" s="493"/>
      <c r="W51" s="577">
        <f>SUM(Y51:AC51)</f>
        <v>0.8871168499199384</v>
      </c>
      <c r="X51" s="577"/>
      <c r="Y51" s="577">
        <f>AT51</f>
        <v>0.54</v>
      </c>
      <c r="Z51" s="577"/>
      <c r="AA51" s="577">
        <f>AR51</f>
        <v>0.18817204434159857</v>
      </c>
      <c r="AB51" s="577"/>
      <c r="AC51" s="577">
        <f>AQ51</f>
        <v>0.15894480557833973</v>
      </c>
      <c r="AD51" s="700"/>
      <c r="AE51" s="512">
        <f t="shared" si="21"/>
        <v>10</v>
      </c>
      <c r="AF51" s="520">
        <v>10</v>
      </c>
      <c r="AH51" s="522">
        <v>22691</v>
      </c>
      <c r="AJ51" s="513">
        <v>106.23302983559877</v>
      </c>
      <c r="AK51" s="514">
        <v>105.1948604625895</v>
      </c>
      <c r="AL51" s="513">
        <v>104.86113485125321</v>
      </c>
      <c r="AM51" s="512">
        <v>12</v>
      </c>
      <c r="AN51" s="512">
        <v>1000000</v>
      </c>
      <c r="AO51" s="512">
        <v>0.12</v>
      </c>
      <c r="AP51" s="523">
        <f t="shared" si="22"/>
        <v>0.3471168499199383</v>
      </c>
      <c r="AQ51" s="523">
        <f t="shared" si="19"/>
        <v>0.15894480557833973</v>
      </c>
      <c r="AR51" s="523">
        <f t="shared" si="20"/>
        <v>0.18817204434159857</v>
      </c>
      <c r="AS51" s="512">
        <v>0.18</v>
      </c>
      <c r="AT51" s="523">
        <f t="shared" si="18"/>
        <v>0.54</v>
      </c>
    </row>
    <row r="52" spans="1:46" ht="19.5" customHeight="1">
      <c r="A52" s="742"/>
      <c r="B52" s="742"/>
      <c r="C52" s="742"/>
      <c r="D52" s="489">
        <v>2014</v>
      </c>
      <c r="E52" s="578">
        <f t="shared" si="29"/>
        <v>25</v>
      </c>
      <c r="F52" s="578"/>
      <c r="G52" s="569">
        <v>0</v>
      </c>
      <c r="H52" s="586"/>
      <c r="I52" s="578">
        <v>0</v>
      </c>
      <c r="J52" s="578"/>
      <c r="K52" s="569">
        <v>0</v>
      </c>
      <c r="L52" s="569"/>
      <c r="M52" s="492">
        <v>25</v>
      </c>
      <c r="N52" s="622"/>
      <c r="O52" s="569">
        <v>0</v>
      </c>
      <c r="P52" s="569"/>
      <c r="Q52" s="569">
        <v>0</v>
      </c>
      <c r="R52" s="569"/>
      <c r="S52" s="742"/>
      <c r="T52" s="778"/>
      <c r="U52" s="493">
        <f>AE52</f>
        <v>10</v>
      </c>
      <c r="V52" s="493"/>
      <c r="W52" s="577">
        <f>SUM(Y52:AC52)</f>
        <v>3.043724627340953</v>
      </c>
      <c r="X52" s="577"/>
      <c r="Y52" s="577">
        <f>AT52</f>
        <v>2.6999999999999997</v>
      </c>
      <c r="Z52" s="577"/>
      <c r="AA52" s="577">
        <f>AR52</f>
        <v>0.18633312048153064</v>
      </c>
      <c r="AB52" s="577"/>
      <c r="AC52" s="577">
        <f>AQ52</f>
        <v>0.15739150685942235</v>
      </c>
      <c r="AD52" s="700"/>
      <c r="AE52" s="512">
        <f t="shared" si="21"/>
        <v>10</v>
      </c>
      <c r="AF52" s="520">
        <v>10</v>
      </c>
      <c r="AH52" s="522">
        <v>22691</v>
      </c>
      <c r="AJ52" s="513">
        <v>106.23302983559877</v>
      </c>
      <c r="AK52" s="514">
        <v>105.1948604625895</v>
      </c>
      <c r="AL52" s="513">
        <v>104.86113485125321</v>
      </c>
      <c r="AM52" s="512">
        <v>12</v>
      </c>
      <c r="AN52" s="512">
        <v>1000000</v>
      </c>
      <c r="AO52" s="512">
        <v>0.12</v>
      </c>
      <c r="AP52" s="523">
        <f>AE52*AH52*AK52%*AM52/AN52*AO52</f>
        <v>0.343724627340953</v>
      </c>
      <c r="AQ52" s="523">
        <f t="shared" si="19"/>
        <v>0.15739150685942235</v>
      </c>
      <c r="AR52" s="523">
        <f t="shared" si="20"/>
        <v>0.18633312048153064</v>
      </c>
      <c r="AS52" s="512">
        <v>0.18</v>
      </c>
      <c r="AT52" s="523">
        <f t="shared" si="18"/>
        <v>2.6999999999999997</v>
      </c>
    </row>
    <row r="53" spans="1:46" s="644" customFormat="1" ht="19.5" customHeight="1">
      <c r="A53" s="742"/>
      <c r="B53" s="742"/>
      <c r="C53" s="742"/>
      <c r="D53" s="633">
        <v>2015</v>
      </c>
      <c r="E53" s="650">
        <f t="shared" si="29"/>
        <v>30</v>
      </c>
      <c r="F53" s="650">
        <v>0</v>
      </c>
      <c r="G53" s="634">
        <v>0</v>
      </c>
      <c r="H53" s="667"/>
      <c r="I53" s="650">
        <v>0</v>
      </c>
      <c r="J53" s="650"/>
      <c r="K53" s="634">
        <v>0</v>
      </c>
      <c r="L53" s="634"/>
      <c r="M53" s="635">
        <v>30</v>
      </c>
      <c r="N53" s="661"/>
      <c r="O53" s="634">
        <v>0</v>
      </c>
      <c r="P53" s="634"/>
      <c r="Q53" s="634">
        <v>0</v>
      </c>
      <c r="R53" s="634"/>
      <c r="S53" s="742"/>
      <c r="T53" s="778"/>
      <c r="U53" s="637">
        <f>AE53</f>
        <v>10</v>
      </c>
      <c r="V53" s="637"/>
      <c r="W53" s="646">
        <f>SUM(Y53:AC53)</f>
        <v>3.582634177571009</v>
      </c>
      <c r="X53" s="646"/>
      <c r="Y53" s="646">
        <f>AT53</f>
        <v>3.2399999999999998</v>
      </c>
      <c r="Z53" s="646"/>
      <c r="AA53" s="646">
        <f>AR53</f>
        <v>0.18574198766124414</v>
      </c>
      <c r="AB53" s="646"/>
      <c r="AC53" s="646">
        <f>AQ53</f>
        <v>0.15689218990976514</v>
      </c>
      <c r="AD53" s="701"/>
      <c r="AE53" s="638">
        <f t="shared" si="21"/>
        <v>10</v>
      </c>
      <c r="AF53" s="639">
        <v>10</v>
      </c>
      <c r="AG53" s="638"/>
      <c r="AH53" s="640">
        <v>22691</v>
      </c>
      <c r="AI53" s="638"/>
      <c r="AJ53" s="641">
        <v>106.23302983559877</v>
      </c>
      <c r="AK53" s="642">
        <v>105.1948604625895</v>
      </c>
      <c r="AL53" s="641">
        <v>104.86113485125321</v>
      </c>
      <c r="AM53" s="638">
        <v>12</v>
      </c>
      <c r="AN53" s="638">
        <v>1000000</v>
      </c>
      <c r="AO53" s="638">
        <v>0.12</v>
      </c>
      <c r="AP53" s="643">
        <f>AE53*AH53*AL53%*AM53/AN53*AO53</f>
        <v>0.3426341775710093</v>
      </c>
      <c r="AQ53" s="643">
        <f t="shared" si="19"/>
        <v>0.15689218990976514</v>
      </c>
      <c r="AR53" s="643">
        <f t="shared" si="20"/>
        <v>0.18574198766124414</v>
      </c>
      <c r="AS53" s="638">
        <v>0.18</v>
      </c>
      <c r="AT53" s="643">
        <f t="shared" si="18"/>
        <v>3.2399999999999998</v>
      </c>
    </row>
    <row r="54" spans="1:46" ht="19.5" customHeight="1">
      <c r="A54" s="742">
        <v>4</v>
      </c>
      <c r="B54" s="742" t="s">
        <v>429</v>
      </c>
      <c r="C54" s="742" t="s">
        <v>328</v>
      </c>
      <c r="D54" s="489" t="s">
        <v>273</v>
      </c>
      <c r="E54" s="578">
        <f t="shared" si="29"/>
        <v>40</v>
      </c>
      <c r="F54" s="578"/>
      <c r="G54" s="569">
        <f aca="true" t="shared" si="31" ref="G54:Q54">SUM(G55:G57)</f>
        <v>0</v>
      </c>
      <c r="H54" s="586"/>
      <c r="I54" s="578">
        <f t="shared" si="31"/>
        <v>0</v>
      </c>
      <c r="J54" s="578"/>
      <c r="K54" s="569">
        <f t="shared" si="31"/>
        <v>0</v>
      </c>
      <c r="L54" s="569"/>
      <c r="M54" s="569">
        <f t="shared" si="31"/>
        <v>40</v>
      </c>
      <c r="N54" s="586"/>
      <c r="O54" s="569">
        <f t="shared" si="31"/>
        <v>0</v>
      </c>
      <c r="P54" s="569"/>
      <c r="Q54" s="569">
        <f t="shared" si="31"/>
        <v>0</v>
      </c>
      <c r="R54" s="569"/>
      <c r="S54" s="742" t="s">
        <v>10</v>
      </c>
      <c r="T54" s="778" t="s">
        <v>55</v>
      </c>
      <c r="U54" s="493">
        <f>SUM(U55:U57)</f>
        <v>60</v>
      </c>
      <c r="V54" s="493"/>
      <c r="W54" s="577">
        <f>SUM(W55:W57)</f>
        <v>6.381410236899952</v>
      </c>
      <c r="X54" s="577"/>
      <c r="Y54" s="577">
        <f>SUM(Y55:Y57)</f>
        <v>4.32</v>
      </c>
      <c r="Z54" s="577"/>
      <c r="AA54" s="577">
        <f>SUM(AA55:AA57)</f>
        <v>1.1175051648231293</v>
      </c>
      <c r="AB54" s="577"/>
      <c r="AC54" s="577">
        <f>SUM(AC55:AC57)</f>
        <v>0.9439050720768226</v>
      </c>
      <c r="AD54" s="700"/>
      <c r="AF54" s="520"/>
      <c r="AH54" s="522">
        <v>22691</v>
      </c>
      <c r="AJ54" s="513">
        <v>106.23302983559877</v>
      </c>
      <c r="AK54" s="514">
        <v>105.1948604625895</v>
      </c>
      <c r="AL54" s="513">
        <v>104.86113485125321</v>
      </c>
      <c r="AM54" s="512">
        <v>12</v>
      </c>
      <c r="AN54" s="512">
        <v>1000000</v>
      </c>
      <c r="AO54" s="512">
        <v>0.12</v>
      </c>
      <c r="AP54" s="523">
        <f t="shared" si="22"/>
        <v>0</v>
      </c>
      <c r="AQ54" s="523">
        <f t="shared" si="19"/>
        <v>0</v>
      </c>
      <c r="AR54" s="523">
        <f t="shared" si="20"/>
        <v>0</v>
      </c>
      <c r="AS54" s="512">
        <v>0.18</v>
      </c>
      <c r="AT54" s="523">
        <f t="shared" si="18"/>
        <v>4.32</v>
      </c>
    </row>
    <row r="55" spans="1:46" ht="19.5" customHeight="1">
      <c r="A55" s="742"/>
      <c r="B55" s="742"/>
      <c r="C55" s="742"/>
      <c r="D55" s="489">
        <v>2013</v>
      </c>
      <c r="E55" s="578">
        <f t="shared" si="29"/>
        <v>20</v>
      </c>
      <c r="F55" s="578"/>
      <c r="G55" s="569">
        <v>0</v>
      </c>
      <c r="H55" s="586"/>
      <c r="I55" s="578">
        <v>0</v>
      </c>
      <c r="J55" s="578"/>
      <c r="K55" s="569">
        <v>0</v>
      </c>
      <c r="L55" s="569"/>
      <c r="M55" s="492">
        <v>20</v>
      </c>
      <c r="N55" s="622"/>
      <c r="O55" s="569">
        <v>0</v>
      </c>
      <c r="P55" s="569"/>
      <c r="Q55" s="569">
        <v>0</v>
      </c>
      <c r="R55" s="569"/>
      <c r="S55" s="742"/>
      <c r="T55" s="778"/>
      <c r="U55" s="493">
        <f>AE55</f>
        <v>10</v>
      </c>
      <c r="V55" s="493"/>
      <c r="W55" s="577">
        <f>SUM(Y55:AC55)</f>
        <v>2.5071168499199383</v>
      </c>
      <c r="X55" s="577"/>
      <c r="Y55" s="577">
        <f>AT55</f>
        <v>2.16</v>
      </c>
      <c r="Z55" s="577"/>
      <c r="AA55" s="577">
        <f>AR55</f>
        <v>0.18817204434159857</v>
      </c>
      <c r="AB55" s="577"/>
      <c r="AC55" s="577">
        <f>AQ55</f>
        <v>0.15894480557833973</v>
      </c>
      <c r="AD55" s="700"/>
      <c r="AE55" s="512">
        <f t="shared" si="21"/>
        <v>10</v>
      </c>
      <c r="AF55" s="520">
        <v>10</v>
      </c>
      <c r="AH55" s="522">
        <v>22691</v>
      </c>
      <c r="AJ55" s="513">
        <v>106.23302983559877</v>
      </c>
      <c r="AK55" s="514">
        <v>105.1948604625895</v>
      </c>
      <c r="AL55" s="513">
        <v>104.86113485125321</v>
      </c>
      <c r="AM55" s="512">
        <v>12</v>
      </c>
      <c r="AN55" s="512">
        <v>1000000</v>
      </c>
      <c r="AO55" s="512">
        <v>0.12</v>
      </c>
      <c r="AP55" s="523">
        <f t="shared" si="22"/>
        <v>0.3471168499199383</v>
      </c>
      <c r="AQ55" s="523">
        <f t="shared" si="19"/>
        <v>0.15894480557833973</v>
      </c>
      <c r="AR55" s="523">
        <f t="shared" si="20"/>
        <v>0.18817204434159857</v>
      </c>
      <c r="AS55" s="512">
        <v>0.18</v>
      </c>
      <c r="AT55" s="523">
        <f t="shared" si="18"/>
        <v>2.16</v>
      </c>
    </row>
    <row r="56" spans="1:46" ht="19.5" customHeight="1">
      <c r="A56" s="742"/>
      <c r="B56" s="742"/>
      <c r="C56" s="742"/>
      <c r="D56" s="489">
        <v>2014</v>
      </c>
      <c r="E56" s="578">
        <f t="shared" si="29"/>
        <v>20</v>
      </c>
      <c r="F56" s="578"/>
      <c r="G56" s="569">
        <v>0</v>
      </c>
      <c r="H56" s="586"/>
      <c r="I56" s="578">
        <v>0</v>
      </c>
      <c r="J56" s="578"/>
      <c r="K56" s="569">
        <v>0</v>
      </c>
      <c r="L56" s="569"/>
      <c r="M56" s="492">
        <v>20</v>
      </c>
      <c r="N56" s="622"/>
      <c r="O56" s="569">
        <v>0</v>
      </c>
      <c r="P56" s="569"/>
      <c r="Q56" s="569">
        <v>0</v>
      </c>
      <c r="R56" s="569"/>
      <c r="S56" s="742"/>
      <c r="T56" s="778"/>
      <c r="U56" s="493">
        <f>AE56</f>
        <v>10</v>
      </c>
      <c r="V56" s="493"/>
      <c r="W56" s="577">
        <f>SUM(Y56:AC56)</f>
        <v>2.5037246273409535</v>
      </c>
      <c r="X56" s="577"/>
      <c r="Y56" s="577">
        <f>AT56</f>
        <v>2.16</v>
      </c>
      <c r="Z56" s="577"/>
      <c r="AA56" s="577">
        <f>AR56</f>
        <v>0.18633312048153064</v>
      </c>
      <c r="AB56" s="577"/>
      <c r="AC56" s="577">
        <f>AQ56</f>
        <v>0.15739150685942235</v>
      </c>
      <c r="AD56" s="700"/>
      <c r="AE56" s="512">
        <f t="shared" si="21"/>
        <v>10</v>
      </c>
      <c r="AF56" s="520">
        <v>10</v>
      </c>
      <c r="AH56" s="522">
        <v>22691</v>
      </c>
      <c r="AJ56" s="513">
        <v>106.23302983559877</v>
      </c>
      <c r="AK56" s="514">
        <v>105.1948604625895</v>
      </c>
      <c r="AL56" s="513">
        <v>104.86113485125321</v>
      </c>
      <c r="AM56" s="512">
        <v>12</v>
      </c>
      <c r="AN56" s="512">
        <v>1000000</v>
      </c>
      <c r="AO56" s="512">
        <v>0.12</v>
      </c>
      <c r="AP56" s="523">
        <f>AE56*AH56*AK56%*AM56/AN56*AO56</f>
        <v>0.343724627340953</v>
      </c>
      <c r="AQ56" s="523">
        <f t="shared" si="19"/>
        <v>0.15739150685942235</v>
      </c>
      <c r="AR56" s="523">
        <f t="shared" si="20"/>
        <v>0.18633312048153064</v>
      </c>
      <c r="AS56" s="512">
        <v>0.18</v>
      </c>
      <c r="AT56" s="523">
        <f t="shared" si="18"/>
        <v>2.16</v>
      </c>
    </row>
    <row r="57" spans="1:46" s="644" customFormat="1" ht="19.5" customHeight="1">
      <c r="A57" s="742"/>
      <c r="B57" s="742"/>
      <c r="C57" s="742"/>
      <c r="D57" s="633">
        <v>2015</v>
      </c>
      <c r="E57" s="650">
        <f t="shared" si="29"/>
        <v>0</v>
      </c>
      <c r="F57" s="650">
        <v>0</v>
      </c>
      <c r="G57" s="634">
        <v>0</v>
      </c>
      <c r="H57" s="667"/>
      <c r="I57" s="650">
        <v>0</v>
      </c>
      <c r="J57" s="650"/>
      <c r="K57" s="634">
        <v>0</v>
      </c>
      <c r="L57" s="634"/>
      <c r="M57" s="634">
        <v>0</v>
      </c>
      <c r="N57" s="667"/>
      <c r="O57" s="634">
        <v>0</v>
      </c>
      <c r="P57" s="634"/>
      <c r="Q57" s="634">
        <v>0</v>
      </c>
      <c r="R57" s="634"/>
      <c r="S57" s="742"/>
      <c r="T57" s="778"/>
      <c r="U57" s="637">
        <f>AE57</f>
        <v>40</v>
      </c>
      <c r="V57" s="637"/>
      <c r="W57" s="646">
        <f>SUM(Y57:AC57)</f>
        <v>1.3705687596390606</v>
      </c>
      <c r="X57" s="646"/>
      <c r="Y57" s="646">
        <v>0</v>
      </c>
      <c r="Z57" s="646"/>
      <c r="AA57" s="646">
        <v>0.743</v>
      </c>
      <c r="AB57" s="646"/>
      <c r="AC57" s="646">
        <f>AQ57</f>
        <v>0.6275687596390606</v>
      </c>
      <c r="AD57" s="701"/>
      <c r="AE57" s="638">
        <f t="shared" si="21"/>
        <v>40</v>
      </c>
      <c r="AF57" s="639">
        <v>40</v>
      </c>
      <c r="AG57" s="638"/>
      <c r="AH57" s="640">
        <v>22691</v>
      </c>
      <c r="AI57" s="638"/>
      <c r="AJ57" s="641">
        <v>106.23302983559877</v>
      </c>
      <c r="AK57" s="642">
        <v>105.1948604625895</v>
      </c>
      <c r="AL57" s="641">
        <v>104.86113485125321</v>
      </c>
      <c r="AM57" s="638">
        <v>12</v>
      </c>
      <c r="AN57" s="638">
        <v>1000000</v>
      </c>
      <c r="AO57" s="638">
        <v>0.12</v>
      </c>
      <c r="AP57" s="643">
        <f>AE57*AH57*AL57%*AM57/AN57*AO57</f>
        <v>1.3705367102840371</v>
      </c>
      <c r="AQ57" s="643">
        <f t="shared" si="19"/>
        <v>0.6275687596390606</v>
      </c>
      <c r="AR57" s="643">
        <f t="shared" si="20"/>
        <v>0.7429679506449766</v>
      </c>
      <c r="AS57" s="638">
        <v>0.18</v>
      </c>
      <c r="AT57" s="643">
        <f t="shared" si="18"/>
        <v>0</v>
      </c>
    </row>
    <row r="58" spans="1:46" ht="19.5" customHeight="1">
      <c r="A58" s="742">
        <v>5</v>
      </c>
      <c r="B58" s="742" t="s">
        <v>56</v>
      </c>
      <c r="C58" s="742" t="s">
        <v>329</v>
      </c>
      <c r="D58" s="489" t="s">
        <v>273</v>
      </c>
      <c r="E58" s="578">
        <f t="shared" si="29"/>
        <v>1163.4</v>
      </c>
      <c r="F58" s="578"/>
      <c r="G58" s="569">
        <f aca="true" t="shared" si="32" ref="G58:Q58">SUM(G59:G61)</f>
        <v>0</v>
      </c>
      <c r="H58" s="586"/>
      <c r="I58" s="578">
        <f t="shared" si="32"/>
        <v>0</v>
      </c>
      <c r="J58" s="578"/>
      <c r="K58" s="569">
        <f t="shared" si="32"/>
        <v>0</v>
      </c>
      <c r="L58" s="569"/>
      <c r="M58" s="569">
        <f t="shared" si="32"/>
        <v>670.3</v>
      </c>
      <c r="N58" s="586"/>
      <c r="O58" s="569">
        <f t="shared" si="32"/>
        <v>493.1</v>
      </c>
      <c r="P58" s="569"/>
      <c r="Q58" s="569">
        <f t="shared" si="32"/>
        <v>0</v>
      </c>
      <c r="R58" s="569"/>
      <c r="S58" s="782" t="s">
        <v>11</v>
      </c>
      <c r="T58" s="788" t="s">
        <v>144</v>
      </c>
      <c r="U58" s="493">
        <f>SUM(U59:U61)</f>
        <v>240</v>
      </c>
      <c r="V58" s="493"/>
      <c r="W58" s="577">
        <f>SUM(W59:W61)</f>
        <v>133.95719814741904</v>
      </c>
      <c r="X58" s="577"/>
      <c r="Y58" s="577">
        <f>SUM(Y59:Y61)</f>
        <v>125.65959999999998</v>
      </c>
      <c r="Z58" s="577"/>
      <c r="AA58" s="577">
        <f>SUM(AA59:AA61)</f>
        <v>4.4769860557158605</v>
      </c>
      <c r="AB58" s="577"/>
      <c r="AC58" s="577">
        <f>SUM(AC59:AC61)</f>
        <v>3.781612091703177</v>
      </c>
      <c r="AD58" s="700"/>
      <c r="AF58" s="520"/>
      <c r="AH58" s="522">
        <v>22691</v>
      </c>
      <c r="AJ58" s="513">
        <v>106.23302983559877</v>
      </c>
      <c r="AK58" s="514">
        <v>105.1948604625895</v>
      </c>
      <c r="AL58" s="513">
        <v>104.86113485125321</v>
      </c>
      <c r="AM58" s="512">
        <v>12</v>
      </c>
      <c r="AN58" s="512">
        <v>1000000</v>
      </c>
      <c r="AO58" s="512">
        <v>0.12</v>
      </c>
      <c r="AP58" s="523">
        <f t="shared" si="22"/>
        <v>0</v>
      </c>
      <c r="AQ58" s="523">
        <f t="shared" si="19"/>
        <v>0</v>
      </c>
      <c r="AR58" s="523">
        <f t="shared" si="20"/>
        <v>0</v>
      </c>
      <c r="AS58" s="512">
        <v>0.18</v>
      </c>
      <c r="AT58" s="523">
        <f t="shared" si="18"/>
        <v>125.64720000000001</v>
      </c>
    </row>
    <row r="59" spans="1:46" ht="19.5" customHeight="1">
      <c r="A59" s="742"/>
      <c r="B59" s="742"/>
      <c r="C59" s="742"/>
      <c r="D59" s="489">
        <v>2013</v>
      </c>
      <c r="E59" s="578">
        <f>G59+I59+K59+M59+O59+Q59</f>
        <v>489.7</v>
      </c>
      <c r="F59" s="578">
        <v>9.292</v>
      </c>
      <c r="G59" s="569">
        <v>0</v>
      </c>
      <c r="H59" s="586"/>
      <c r="I59" s="578">
        <v>0</v>
      </c>
      <c r="J59" s="578"/>
      <c r="K59" s="569">
        <v>0</v>
      </c>
      <c r="L59" s="569"/>
      <c r="M59" s="492">
        <v>230</v>
      </c>
      <c r="N59" s="622">
        <v>9.292</v>
      </c>
      <c r="O59" s="492">
        <v>259.7</v>
      </c>
      <c r="P59" s="492"/>
      <c r="Q59" s="569">
        <v>0</v>
      </c>
      <c r="R59" s="569"/>
      <c r="S59" s="782"/>
      <c r="T59" s="788"/>
      <c r="U59" s="493">
        <f>AE59</f>
        <v>40</v>
      </c>
      <c r="V59" s="493">
        <v>14</v>
      </c>
      <c r="W59" s="577">
        <f>SUM(Y59:AC59)</f>
        <v>54.327467399679755</v>
      </c>
      <c r="X59" s="577">
        <f>AB59+AD59</f>
        <v>2.5540000000000003</v>
      </c>
      <c r="Y59" s="577">
        <v>52.9</v>
      </c>
      <c r="Z59" s="577"/>
      <c r="AA59" s="577">
        <f>AR59</f>
        <v>0.7526881773663943</v>
      </c>
      <c r="AB59" s="577">
        <v>0.039</v>
      </c>
      <c r="AC59" s="577">
        <f>AQ59</f>
        <v>0.6357792223133589</v>
      </c>
      <c r="AD59" s="700">
        <f>2.482+0.033</f>
        <v>2.515</v>
      </c>
      <c r="AE59" s="512">
        <f t="shared" si="21"/>
        <v>40</v>
      </c>
      <c r="AF59" s="520">
        <v>40</v>
      </c>
      <c r="AH59" s="522">
        <v>22691</v>
      </c>
      <c r="AJ59" s="513">
        <v>106.23302983559877</v>
      </c>
      <c r="AK59" s="514">
        <v>105.1948604625895</v>
      </c>
      <c r="AL59" s="513">
        <v>104.86113485125321</v>
      </c>
      <c r="AM59" s="512">
        <v>12</v>
      </c>
      <c r="AN59" s="512">
        <v>1000000</v>
      </c>
      <c r="AO59" s="512">
        <v>0.12</v>
      </c>
      <c r="AP59" s="523">
        <f t="shared" si="22"/>
        <v>1.3884673996797532</v>
      </c>
      <c r="AQ59" s="523">
        <f t="shared" si="19"/>
        <v>0.6357792223133589</v>
      </c>
      <c r="AR59" s="523">
        <f t="shared" si="20"/>
        <v>0.7526881773663943</v>
      </c>
      <c r="AS59" s="512">
        <v>0.18</v>
      </c>
      <c r="AT59" s="523">
        <f t="shared" si="18"/>
        <v>52.8876</v>
      </c>
    </row>
    <row r="60" spans="1:46" ht="19.5" customHeight="1">
      <c r="A60" s="742"/>
      <c r="B60" s="742"/>
      <c r="C60" s="742"/>
      <c r="D60" s="489">
        <v>2014</v>
      </c>
      <c r="E60" s="578">
        <v>206.9</v>
      </c>
      <c r="F60" s="578">
        <v>29.3</v>
      </c>
      <c r="G60" s="569">
        <v>0</v>
      </c>
      <c r="H60" s="586"/>
      <c r="I60" s="578">
        <v>0</v>
      </c>
      <c r="J60" s="578"/>
      <c r="K60" s="569">
        <v>0</v>
      </c>
      <c r="L60" s="569"/>
      <c r="M60" s="492">
        <v>206.9</v>
      </c>
      <c r="N60" s="622"/>
      <c r="O60" s="492">
        <v>0</v>
      </c>
      <c r="P60" s="492">
        <v>29.3</v>
      </c>
      <c r="Q60" s="569">
        <v>0</v>
      </c>
      <c r="R60" s="569"/>
      <c r="S60" s="782"/>
      <c r="T60" s="788"/>
      <c r="U60" s="493">
        <f>AE60</f>
        <v>160</v>
      </c>
      <c r="V60" s="493"/>
      <c r="W60" s="577">
        <f>Y60+AA60+AC60</f>
        <v>27.844794037455245</v>
      </c>
      <c r="X60" s="577">
        <v>2.78</v>
      </c>
      <c r="Y60" s="577">
        <f>AT60</f>
        <v>22.3452</v>
      </c>
      <c r="Z60" s="577">
        <v>2.68</v>
      </c>
      <c r="AA60" s="577">
        <f>AR60</f>
        <v>2.9813299277044902</v>
      </c>
      <c r="AB60" s="577">
        <v>0.058</v>
      </c>
      <c r="AC60" s="577">
        <f>AQ60</f>
        <v>2.5182641097507577</v>
      </c>
      <c r="AD60" s="700">
        <v>0.04</v>
      </c>
      <c r="AE60" s="512">
        <f t="shared" si="21"/>
        <v>160</v>
      </c>
      <c r="AF60" s="520">
        <v>160</v>
      </c>
      <c r="AH60" s="522">
        <v>22691</v>
      </c>
      <c r="AJ60" s="513">
        <v>106.23302983559877</v>
      </c>
      <c r="AK60" s="514">
        <v>105.1948604625895</v>
      </c>
      <c r="AL60" s="513">
        <v>104.86113485125321</v>
      </c>
      <c r="AM60" s="512">
        <v>12</v>
      </c>
      <c r="AN60" s="512">
        <v>1000000</v>
      </c>
      <c r="AO60" s="512">
        <v>0.12</v>
      </c>
      <c r="AP60" s="523">
        <f>AE60*AH60*AK60%*AM60/AN60*AO60</f>
        <v>5.499594037455248</v>
      </c>
      <c r="AQ60" s="523">
        <f t="shared" si="19"/>
        <v>2.5182641097507577</v>
      </c>
      <c r="AR60" s="523">
        <f t="shared" si="20"/>
        <v>2.9813299277044902</v>
      </c>
      <c r="AS60" s="512">
        <v>0.18</v>
      </c>
      <c r="AT60" s="523">
        <f t="shared" si="18"/>
        <v>22.3452</v>
      </c>
    </row>
    <row r="61" spans="1:46" s="644" customFormat="1" ht="19.5" customHeight="1">
      <c r="A61" s="742"/>
      <c r="B61" s="742"/>
      <c r="C61" s="742"/>
      <c r="D61" s="633">
        <v>2015</v>
      </c>
      <c r="E61" s="650">
        <v>466.8</v>
      </c>
      <c r="F61" s="650">
        <v>19.35</v>
      </c>
      <c r="G61" s="634">
        <v>0</v>
      </c>
      <c r="H61" s="667"/>
      <c r="I61" s="650">
        <v>0</v>
      </c>
      <c r="J61" s="650"/>
      <c r="K61" s="634">
        <v>0</v>
      </c>
      <c r="L61" s="634"/>
      <c r="M61" s="635">
        <v>233.4</v>
      </c>
      <c r="N61" s="661">
        <v>19.35</v>
      </c>
      <c r="O61" s="635">
        <v>233.4</v>
      </c>
      <c r="P61" s="635"/>
      <c r="Q61" s="634">
        <v>0</v>
      </c>
      <c r="R61" s="634"/>
      <c r="S61" s="782"/>
      <c r="T61" s="788"/>
      <c r="U61" s="637">
        <f>AE61</f>
        <v>40</v>
      </c>
      <c r="V61" s="637">
        <v>15</v>
      </c>
      <c r="W61" s="646">
        <f>SUM(Y61:AC61)</f>
        <v>51.78493671028403</v>
      </c>
      <c r="X61" s="646">
        <v>2.53</v>
      </c>
      <c r="Y61" s="646">
        <f>AT61</f>
        <v>50.41439999999999</v>
      </c>
      <c r="Z61" s="646"/>
      <c r="AA61" s="646">
        <f>AR61</f>
        <v>0.7429679506449766</v>
      </c>
      <c r="AB61" s="646"/>
      <c r="AC61" s="646">
        <f>AQ61</f>
        <v>0.6275687596390606</v>
      </c>
      <c r="AD61" s="701"/>
      <c r="AE61" s="638">
        <f t="shared" si="21"/>
        <v>40</v>
      </c>
      <c r="AF61" s="639">
        <v>40</v>
      </c>
      <c r="AG61" s="638"/>
      <c r="AH61" s="640">
        <v>22691</v>
      </c>
      <c r="AI61" s="638"/>
      <c r="AJ61" s="641">
        <v>106.23302983559877</v>
      </c>
      <c r="AK61" s="642">
        <v>105.1948604625895</v>
      </c>
      <c r="AL61" s="641">
        <v>104.86113485125321</v>
      </c>
      <c r="AM61" s="638">
        <v>12</v>
      </c>
      <c r="AN61" s="638">
        <v>1000000</v>
      </c>
      <c r="AO61" s="638">
        <v>0.12</v>
      </c>
      <c r="AP61" s="643">
        <f>AE61*AH61*AL61%*AM61/AN61*AO61</f>
        <v>1.3705367102840371</v>
      </c>
      <c r="AQ61" s="643">
        <f t="shared" si="19"/>
        <v>0.6275687596390606</v>
      </c>
      <c r="AR61" s="643">
        <f t="shared" si="20"/>
        <v>0.7429679506449766</v>
      </c>
      <c r="AS61" s="638">
        <v>0.18</v>
      </c>
      <c r="AT61" s="643">
        <f t="shared" si="18"/>
        <v>50.41439999999999</v>
      </c>
    </row>
    <row r="62" spans="1:46" ht="19.5" customHeight="1">
      <c r="A62" s="742">
        <v>6</v>
      </c>
      <c r="B62" s="742" t="s">
        <v>327</v>
      </c>
      <c r="C62" s="742" t="s">
        <v>350</v>
      </c>
      <c r="D62" s="489" t="s">
        <v>273</v>
      </c>
      <c r="E62" s="578">
        <f t="shared" si="29"/>
        <v>3.6999999999999997</v>
      </c>
      <c r="F62" s="578"/>
      <c r="G62" s="569">
        <f aca="true" t="shared" si="33" ref="G62:Q62">SUM(G63:G65)</f>
        <v>0</v>
      </c>
      <c r="H62" s="586"/>
      <c r="I62" s="578">
        <f t="shared" si="33"/>
        <v>0</v>
      </c>
      <c r="J62" s="578"/>
      <c r="K62" s="569">
        <f t="shared" si="33"/>
        <v>0</v>
      </c>
      <c r="L62" s="569"/>
      <c r="M62" s="569">
        <f t="shared" si="33"/>
        <v>3.6999999999999997</v>
      </c>
      <c r="N62" s="586"/>
      <c r="O62" s="569">
        <f t="shared" si="33"/>
        <v>0</v>
      </c>
      <c r="P62" s="569"/>
      <c r="Q62" s="569">
        <f t="shared" si="33"/>
        <v>0</v>
      </c>
      <c r="R62" s="569"/>
      <c r="S62" s="742" t="s">
        <v>8</v>
      </c>
      <c r="T62" s="778" t="s">
        <v>592</v>
      </c>
      <c r="U62" s="493">
        <f>SUM(U63:U65)</f>
        <v>7</v>
      </c>
      <c r="V62" s="493"/>
      <c r="W62" s="577">
        <f>SUM(W63:W65)</f>
        <v>0.6496641281702613</v>
      </c>
      <c r="X62" s="577"/>
      <c r="Y62" s="577">
        <f>SUM(Y63:Y65)</f>
        <v>0.40769999999999995</v>
      </c>
      <c r="Z62" s="577"/>
      <c r="AA62" s="577">
        <f>SUM(AA63:AA65)</f>
        <v>0.13116875388109864</v>
      </c>
      <c r="AB62" s="577"/>
      <c r="AC62" s="577">
        <f>SUM(AC63:AC65)</f>
        <v>0.11079537428916261</v>
      </c>
      <c r="AD62" s="700"/>
      <c r="AF62" s="520"/>
      <c r="AH62" s="522">
        <v>22691</v>
      </c>
      <c r="AJ62" s="513">
        <v>106.23302983559877</v>
      </c>
      <c r="AK62" s="514">
        <v>105.1948604625895</v>
      </c>
      <c r="AL62" s="513">
        <v>104.86113485125321</v>
      </c>
      <c r="AM62" s="512">
        <v>12</v>
      </c>
      <c r="AN62" s="512">
        <v>1000000</v>
      </c>
      <c r="AO62" s="512">
        <v>0.12</v>
      </c>
      <c r="AP62" s="523">
        <f t="shared" si="22"/>
        <v>0</v>
      </c>
      <c r="AQ62" s="523">
        <f t="shared" si="19"/>
        <v>0</v>
      </c>
      <c r="AR62" s="523">
        <f t="shared" si="20"/>
        <v>0</v>
      </c>
      <c r="AS62" s="512">
        <v>0.18</v>
      </c>
      <c r="AT62" s="523">
        <f t="shared" si="18"/>
        <v>0.39959999999999996</v>
      </c>
    </row>
    <row r="63" spans="1:46" ht="19.5" customHeight="1">
      <c r="A63" s="742"/>
      <c r="B63" s="742"/>
      <c r="C63" s="742"/>
      <c r="D63" s="489">
        <v>2013</v>
      </c>
      <c r="E63" s="578">
        <f t="shared" si="29"/>
        <v>2.3</v>
      </c>
      <c r="F63" s="578"/>
      <c r="G63" s="569">
        <v>0</v>
      </c>
      <c r="H63" s="586"/>
      <c r="I63" s="578">
        <v>0</v>
      </c>
      <c r="J63" s="578"/>
      <c r="K63" s="569">
        <v>0</v>
      </c>
      <c r="L63" s="569"/>
      <c r="M63" s="492">
        <v>2.3</v>
      </c>
      <c r="N63" s="622"/>
      <c r="O63" s="569">
        <v>0</v>
      </c>
      <c r="P63" s="569"/>
      <c r="Q63" s="569">
        <v>0</v>
      </c>
      <c r="R63" s="569"/>
      <c r="S63" s="742"/>
      <c r="T63" s="778"/>
      <c r="U63" s="493">
        <f>AE63</f>
        <v>4</v>
      </c>
      <c r="V63" s="493"/>
      <c r="W63" s="577">
        <f>SUM(Y63:AC63)</f>
        <v>0.3872467399679753</v>
      </c>
      <c r="X63" s="577"/>
      <c r="Y63" s="577">
        <f>AT63</f>
        <v>0.24839999999999998</v>
      </c>
      <c r="Z63" s="577"/>
      <c r="AA63" s="577">
        <f>AR63</f>
        <v>0.07526881773663943</v>
      </c>
      <c r="AB63" s="577"/>
      <c r="AC63" s="577">
        <f>AQ63</f>
        <v>0.0635779222313359</v>
      </c>
      <c r="AD63" s="700"/>
      <c r="AE63" s="512">
        <f t="shared" si="21"/>
        <v>4</v>
      </c>
      <c r="AF63" s="520">
        <v>4</v>
      </c>
      <c r="AH63" s="522">
        <v>22691</v>
      </c>
      <c r="AJ63" s="513">
        <v>106.23302983559877</v>
      </c>
      <c r="AK63" s="514">
        <v>105.1948604625895</v>
      </c>
      <c r="AL63" s="513">
        <v>104.86113485125321</v>
      </c>
      <c r="AM63" s="512">
        <v>12</v>
      </c>
      <c r="AN63" s="512">
        <v>1000000</v>
      </c>
      <c r="AO63" s="512">
        <v>0.12</v>
      </c>
      <c r="AP63" s="523">
        <f t="shared" si="22"/>
        <v>0.13884673996797534</v>
      </c>
      <c r="AQ63" s="523">
        <f t="shared" si="19"/>
        <v>0.0635779222313359</v>
      </c>
      <c r="AR63" s="523">
        <f t="shared" si="20"/>
        <v>0.07526881773663943</v>
      </c>
      <c r="AS63" s="512">
        <v>0.18</v>
      </c>
      <c r="AT63" s="523">
        <f t="shared" si="18"/>
        <v>0.24839999999999998</v>
      </c>
    </row>
    <row r="64" spans="1:46" ht="19.5" customHeight="1">
      <c r="A64" s="742"/>
      <c r="B64" s="742"/>
      <c r="C64" s="742"/>
      <c r="D64" s="489">
        <v>2014</v>
      </c>
      <c r="E64" s="578">
        <f t="shared" si="29"/>
        <v>1.4</v>
      </c>
      <c r="F64" s="578"/>
      <c r="G64" s="569">
        <v>0</v>
      </c>
      <c r="H64" s="586"/>
      <c r="I64" s="578">
        <v>0</v>
      </c>
      <c r="J64" s="578"/>
      <c r="K64" s="569">
        <v>0</v>
      </c>
      <c r="L64" s="569"/>
      <c r="M64" s="569">
        <v>1.4</v>
      </c>
      <c r="N64" s="586"/>
      <c r="O64" s="569">
        <v>0</v>
      </c>
      <c r="P64" s="569"/>
      <c r="Q64" s="569">
        <v>0</v>
      </c>
      <c r="R64" s="569"/>
      <c r="S64" s="742"/>
      <c r="T64" s="778"/>
      <c r="U64" s="493">
        <f>AE64</f>
        <v>3</v>
      </c>
      <c r="V64" s="493"/>
      <c r="W64" s="577">
        <f>SUM(Y64:AC64)</f>
        <v>0.25431738820228594</v>
      </c>
      <c r="X64" s="577"/>
      <c r="Y64" s="577">
        <f>AT64</f>
        <v>0.1512</v>
      </c>
      <c r="Z64" s="577"/>
      <c r="AA64" s="577">
        <f>AR64</f>
        <v>0.0558999361444592</v>
      </c>
      <c r="AB64" s="577"/>
      <c r="AC64" s="577">
        <f>AQ64</f>
        <v>0.047217452057826716</v>
      </c>
      <c r="AD64" s="700"/>
      <c r="AE64" s="512">
        <f t="shared" si="21"/>
        <v>3</v>
      </c>
      <c r="AF64" s="520">
        <v>3</v>
      </c>
      <c r="AH64" s="522">
        <v>22691</v>
      </c>
      <c r="AJ64" s="513">
        <v>106.23302983559877</v>
      </c>
      <c r="AK64" s="514">
        <v>105.1948604625895</v>
      </c>
      <c r="AL64" s="513">
        <v>104.86113485125321</v>
      </c>
      <c r="AM64" s="512">
        <v>12</v>
      </c>
      <c r="AN64" s="512">
        <v>1000000</v>
      </c>
      <c r="AO64" s="512">
        <v>0.12</v>
      </c>
      <c r="AP64" s="523">
        <f>AE64*AH64*AK64%*AM64/AN64*AO64</f>
        <v>0.10311738820228591</v>
      </c>
      <c r="AQ64" s="523">
        <f t="shared" si="19"/>
        <v>0.047217452057826716</v>
      </c>
      <c r="AR64" s="523">
        <f t="shared" si="20"/>
        <v>0.0558999361444592</v>
      </c>
      <c r="AS64" s="512">
        <v>0.18</v>
      </c>
      <c r="AT64" s="523">
        <f t="shared" si="18"/>
        <v>0.1512</v>
      </c>
    </row>
    <row r="65" spans="1:46" s="644" customFormat="1" ht="19.5" customHeight="1">
      <c r="A65" s="742"/>
      <c r="B65" s="742"/>
      <c r="C65" s="742"/>
      <c r="D65" s="633">
        <v>2015</v>
      </c>
      <c r="E65" s="650">
        <f t="shared" si="29"/>
        <v>0.075</v>
      </c>
      <c r="F65" s="650">
        <v>0.075</v>
      </c>
      <c r="G65" s="634">
        <v>0</v>
      </c>
      <c r="H65" s="667"/>
      <c r="I65" s="650">
        <v>0</v>
      </c>
      <c r="J65" s="650"/>
      <c r="K65" s="634">
        <v>0</v>
      </c>
      <c r="L65" s="634"/>
      <c r="M65" s="634">
        <v>0</v>
      </c>
      <c r="N65" s="667">
        <v>0.075</v>
      </c>
      <c r="O65" s="634">
        <v>0</v>
      </c>
      <c r="P65" s="634"/>
      <c r="Q65" s="634">
        <v>0</v>
      </c>
      <c r="R65" s="634"/>
      <c r="S65" s="742"/>
      <c r="T65" s="778"/>
      <c r="U65" s="637">
        <f>AE65</f>
        <v>0</v>
      </c>
      <c r="V65" s="637"/>
      <c r="W65" s="646">
        <f>SUM(Y65:AC65)</f>
        <v>0.0081</v>
      </c>
      <c r="X65" s="646"/>
      <c r="Y65" s="646">
        <f>AT65</f>
        <v>0.0081</v>
      </c>
      <c r="Z65" s="646"/>
      <c r="AA65" s="646">
        <f>AR65</f>
        <v>0</v>
      </c>
      <c r="AB65" s="646"/>
      <c r="AC65" s="646">
        <f>AQ65</f>
        <v>0</v>
      </c>
      <c r="AD65" s="701"/>
      <c r="AE65" s="638">
        <f t="shared" si="21"/>
        <v>0</v>
      </c>
      <c r="AF65" s="639">
        <v>0</v>
      </c>
      <c r="AG65" s="638"/>
      <c r="AH65" s="640">
        <v>22691</v>
      </c>
      <c r="AI65" s="638"/>
      <c r="AJ65" s="641">
        <v>106.23302983559877</v>
      </c>
      <c r="AK65" s="642">
        <v>105.1948604625895</v>
      </c>
      <c r="AL65" s="641">
        <v>104.86113485125321</v>
      </c>
      <c r="AM65" s="638">
        <v>12</v>
      </c>
      <c r="AN65" s="638">
        <v>1000000</v>
      </c>
      <c r="AO65" s="638">
        <v>0.12</v>
      </c>
      <c r="AP65" s="643">
        <f>AE65*AH65*AL65%*AM65/AN65*AO65</f>
        <v>0</v>
      </c>
      <c r="AQ65" s="643">
        <f t="shared" si="19"/>
        <v>0</v>
      </c>
      <c r="AR65" s="643">
        <f t="shared" si="20"/>
        <v>0</v>
      </c>
      <c r="AS65" s="638">
        <v>0.18</v>
      </c>
      <c r="AT65" s="643">
        <f t="shared" si="18"/>
        <v>0.0081</v>
      </c>
    </row>
    <row r="66" spans="1:46" ht="38.25" customHeight="1">
      <c r="A66" s="742">
        <v>7</v>
      </c>
      <c r="B66" s="742" t="s">
        <v>2</v>
      </c>
      <c r="C66" s="742" t="s">
        <v>402</v>
      </c>
      <c r="D66" s="489" t="s">
        <v>273</v>
      </c>
      <c r="E66" s="578">
        <f t="shared" si="29"/>
        <v>33</v>
      </c>
      <c r="F66" s="578"/>
      <c r="G66" s="569">
        <f aca="true" t="shared" si="34" ref="G66:Q66">SUM(G67:G69)</f>
        <v>0</v>
      </c>
      <c r="H66" s="586"/>
      <c r="I66" s="578">
        <f t="shared" si="34"/>
        <v>0</v>
      </c>
      <c r="J66" s="578"/>
      <c r="K66" s="569">
        <f t="shared" si="34"/>
        <v>0</v>
      </c>
      <c r="L66" s="569"/>
      <c r="M66" s="569">
        <f t="shared" si="34"/>
        <v>33</v>
      </c>
      <c r="N66" s="586"/>
      <c r="O66" s="569">
        <f t="shared" si="34"/>
        <v>0</v>
      </c>
      <c r="P66" s="569"/>
      <c r="Q66" s="569">
        <f t="shared" si="34"/>
        <v>0</v>
      </c>
      <c r="R66" s="569"/>
      <c r="S66" s="782" t="s">
        <v>12</v>
      </c>
      <c r="T66" s="778" t="s">
        <v>591</v>
      </c>
      <c r="U66" s="493">
        <f>SUM(U67:U69)</f>
        <v>60</v>
      </c>
      <c r="V66" s="493"/>
      <c r="W66" s="577">
        <f>SUM(W67:W69)</f>
        <v>5.991253082472843</v>
      </c>
      <c r="X66" s="577"/>
      <c r="Y66" s="577">
        <f>SUM(Y67:Y69)</f>
        <v>3.564</v>
      </c>
      <c r="Z66" s="577"/>
      <c r="AA66" s="577">
        <f>SUM(AA67:AA69)</f>
        <v>1.121742096008528</v>
      </c>
      <c r="AB66" s="577"/>
      <c r="AC66" s="577">
        <f>SUM(AC67:AC69)</f>
        <v>0.9475109864643146</v>
      </c>
      <c r="AD66" s="700"/>
      <c r="AF66" s="520"/>
      <c r="AH66" s="522">
        <v>22691</v>
      </c>
      <c r="AJ66" s="513">
        <v>106.23302983559877</v>
      </c>
      <c r="AK66" s="514">
        <v>105.1948604625895</v>
      </c>
      <c r="AL66" s="513">
        <v>104.86113485125321</v>
      </c>
      <c r="AM66" s="512">
        <v>12</v>
      </c>
      <c r="AN66" s="512">
        <v>1000000</v>
      </c>
      <c r="AO66" s="512">
        <v>0.12</v>
      </c>
      <c r="AP66" s="523">
        <f t="shared" si="22"/>
        <v>0</v>
      </c>
      <c r="AQ66" s="523">
        <f t="shared" si="19"/>
        <v>0</v>
      </c>
      <c r="AR66" s="523">
        <f t="shared" si="20"/>
        <v>0</v>
      </c>
      <c r="AS66" s="512">
        <v>0.18</v>
      </c>
      <c r="AT66" s="523">
        <f t="shared" si="18"/>
        <v>3.564</v>
      </c>
    </row>
    <row r="67" spans="1:46" ht="38.25" customHeight="1">
      <c r="A67" s="742"/>
      <c r="B67" s="742"/>
      <c r="C67" s="742"/>
      <c r="D67" s="489">
        <v>2013</v>
      </c>
      <c r="E67" s="578">
        <f>G67+I67+K67+M67+O67+Q67</f>
        <v>8</v>
      </c>
      <c r="F67" s="578">
        <v>1.4</v>
      </c>
      <c r="G67" s="569">
        <v>0</v>
      </c>
      <c r="H67" s="586"/>
      <c r="I67" s="578">
        <v>0</v>
      </c>
      <c r="J67" s="578"/>
      <c r="K67" s="569">
        <v>0</v>
      </c>
      <c r="L67" s="569"/>
      <c r="M67" s="492">
        <v>8</v>
      </c>
      <c r="N67" s="622">
        <v>1.4</v>
      </c>
      <c r="O67" s="569">
        <v>0</v>
      </c>
      <c r="P67" s="569"/>
      <c r="Q67" s="569">
        <v>0</v>
      </c>
      <c r="R67" s="569"/>
      <c r="S67" s="782"/>
      <c r="T67" s="778"/>
      <c r="U67" s="493">
        <f>AE67</f>
        <v>30</v>
      </c>
      <c r="V67" s="493">
        <v>8</v>
      </c>
      <c r="W67" s="577">
        <f>Y67+AA67+AC67</f>
        <v>1.9053505497598149</v>
      </c>
      <c r="X67" s="577">
        <f>Z67+AB67+AD67</f>
        <v>0.15999999999999998</v>
      </c>
      <c r="Y67" s="577">
        <f>AT67</f>
        <v>0.864</v>
      </c>
      <c r="Z67" s="577">
        <v>0.118</v>
      </c>
      <c r="AA67" s="577">
        <f>AR67</f>
        <v>0.5645161330247956</v>
      </c>
      <c r="AB67" s="577">
        <v>0.023</v>
      </c>
      <c r="AC67" s="577">
        <f>AQ67</f>
        <v>0.47683441673501914</v>
      </c>
      <c r="AD67" s="586">
        <v>0.019</v>
      </c>
      <c r="AE67" s="512">
        <f t="shared" si="21"/>
        <v>30</v>
      </c>
      <c r="AF67" s="520">
        <v>30</v>
      </c>
      <c r="AH67" s="522">
        <v>22691</v>
      </c>
      <c r="AJ67" s="513">
        <v>106.23302983559877</v>
      </c>
      <c r="AK67" s="514">
        <v>105.1948604625895</v>
      </c>
      <c r="AL67" s="513">
        <v>104.86113485125321</v>
      </c>
      <c r="AM67" s="512">
        <v>12</v>
      </c>
      <c r="AN67" s="512">
        <v>1000000</v>
      </c>
      <c r="AO67" s="512">
        <v>0.12</v>
      </c>
      <c r="AP67" s="523">
        <f t="shared" si="22"/>
        <v>1.0413505497598148</v>
      </c>
      <c r="AQ67" s="523">
        <f t="shared" si="19"/>
        <v>0.47683441673501914</v>
      </c>
      <c r="AR67" s="523">
        <f t="shared" si="20"/>
        <v>0.5645161330247956</v>
      </c>
      <c r="AS67" s="512">
        <v>0.18</v>
      </c>
      <c r="AT67" s="523">
        <f t="shared" si="18"/>
        <v>0.864</v>
      </c>
    </row>
    <row r="68" spans="1:46" ht="38.25" customHeight="1">
      <c r="A68" s="742"/>
      <c r="B68" s="742"/>
      <c r="C68" s="742"/>
      <c r="D68" s="489">
        <v>2014</v>
      </c>
      <c r="E68" s="578">
        <f t="shared" si="29"/>
        <v>10</v>
      </c>
      <c r="F68" s="578"/>
      <c r="G68" s="569">
        <v>0</v>
      </c>
      <c r="H68" s="586"/>
      <c r="I68" s="578">
        <v>0</v>
      </c>
      <c r="J68" s="578"/>
      <c r="K68" s="569">
        <v>0</v>
      </c>
      <c r="L68" s="569"/>
      <c r="M68" s="569">
        <v>10</v>
      </c>
      <c r="N68" s="586"/>
      <c r="O68" s="569">
        <v>0</v>
      </c>
      <c r="P68" s="569"/>
      <c r="Q68" s="569">
        <v>0</v>
      </c>
      <c r="R68" s="569"/>
      <c r="S68" s="782"/>
      <c r="T68" s="778"/>
      <c r="U68" s="493">
        <f>AE68</f>
        <v>0</v>
      </c>
      <c r="V68" s="493"/>
      <c r="W68" s="577">
        <f>Y68+AA68+AC68</f>
        <v>1.08</v>
      </c>
      <c r="X68" s="577"/>
      <c r="Y68" s="577">
        <f>AT68</f>
        <v>1.08</v>
      </c>
      <c r="Z68" s="577"/>
      <c r="AA68" s="577">
        <f>AR68</f>
        <v>0</v>
      </c>
      <c r="AB68" s="577"/>
      <c r="AC68" s="577">
        <f>AQ68</f>
        <v>0</v>
      </c>
      <c r="AD68" s="700"/>
      <c r="AE68" s="512">
        <f t="shared" si="21"/>
        <v>0</v>
      </c>
      <c r="AF68" s="520">
        <v>0</v>
      </c>
      <c r="AH68" s="522">
        <v>22691</v>
      </c>
      <c r="AJ68" s="513">
        <v>106.23302983559877</v>
      </c>
      <c r="AK68" s="514">
        <v>105.1948604625895</v>
      </c>
      <c r="AL68" s="513">
        <v>104.86113485125321</v>
      </c>
      <c r="AM68" s="512">
        <v>12</v>
      </c>
      <c r="AN68" s="512">
        <v>1000000</v>
      </c>
      <c r="AO68" s="512">
        <v>0.12</v>
      </c>
      <c r="AP68" s="523">
        <f>AE68*AH68*AK68%*AM68/AN68*AO68</f>
        <v>0</v>
      </c>
      <c r="AQ68" s="523">
        <f t="shared" si="19"/>
        <v>0</v>
      </c>
      <c r="AR68" s="523">
        <f t="shared" si="20"/>
        <v>0</v>
      </c>
      <c r="AS68" s="512">
        <v>0.18</v>
      </c>
      <c r="AT68" s="523">
        <f t="shared" si="18"/>
        <v>1.08</v>
      </c>
    </row>
    <row r="69" spans="1:46" s="644" customFormat="1" ht="38.25" customHeight="1">
      <c r="A69" s="742"/>
      <c r="B69" s="742"/>
      <c r="C69" s="742"/>
      <c r="D69" s="633">
        <v>2015</v>
      </c>
      <c r="E69" s="650">
        <v>15</v>
      </c>
      <c r="F69" s="650">
        <v>1.9</v>
      </c>
      <c r="G69" s="634">
        <v>0</v>
      </c>
      <c r="H69" s="667"/>
      <c r="I69" s="650">
        <v>0</v>
      </c>
      <c r="J69" s="650"/>
      <c r="K69" s="634">
        <v>0</v>
      </c>
      <c r="L69" s="634"/>
      <c r="M69" s="634">
        <v>15</v>
      </c>
      <c r="N69" s="667">
        <v>1.9</v>
      </c>
      <c r="O69" s="634">
        <v>0</v>
      </c>
      <c r="P69" s="634"/>
      <c r="Q69" s="634">
        <v>0</v>
      </c>
      <c r="R69" s="634"/>
      <c r="S69" s="782"/>
      <c r="T69" s="778"/>
      <c r="U69" s="637">
        <f>AE69</f>
        <v>30</v>
      </c>
      <c r="V69" s="637">
        <v>1</v>
      </c>
      <c r="W69" s="646">
        <f>SUM(Y69:AC69)</f>
        <v>3.0059025327130278</v>
      </c>
      <c r="X69" s="646">
        <v>0.46</v>
      </c>
      <c r="Y69" s="646">
        <f>AT69</f>
        <v>1.6199999999999999</v>
      </c>
      <c r="Z69" s="646">
        <v>0.26</v>
      </c>
      <c r="AA69" s="646">
        <f>AR69</f>
        <v>0.5572259629837325</v>
      </c>
      <c r="AB69" s="646">
        <v>0.098</v>
      </c>
      <c r="AC69" s="646">
        <f>AQ69</f>
        <v>0.4706765697292955</v>
      </c>
      <c r="AD69" s="701">
        <v>0.102</v>
      </c>
      <c r="AE69" s="638">
        <f aca="true" t="shared" si="35" ref="AE69:AE128">AF69+AG69</f>
        <v>30</v>
      </c>
      <c r="AF69" s="639">
        <v>30</v>
      </c>
      <c r="AG69" s="638"/>
      <c r="AH69" s="640">
        <v>22691</v>
      </c>
      <c r="AI69" s="638"/>
      <c r="AJ69" s="641">
        <v>106.23302983559877</v>
      </c>
      <c r="AK69" s="642">
        <v>105.1948604625895</v>
      </c>
      <c r="AL69" s="641">
        <v>104.86113485125321</v>
      </c>
      <c r="AM69" s="638">
        <v>12</v>
      </c>
      <c r="AN69" s="638">
        <v>1000000</v>
      </c>
      <c r="AO69" s="638">
        <v>0.12</v>
      </c>
      <c r="AP69" s="643">
        <f>AE69*AH69*AL69%*AM69/AN69*AO69</f>
        <v>1.027902532713028</v>
      </c>
      <c r="AQ69" s="643">
        <f t="shared" si="19"/>
        <v>0.4706765697292955</v>
      </c>
      <c r="AR69" s="643">
        <f t="shared" si="20"/>
        <v>0.5572259629837325</v>
      </c>
      <c r="AS69" s="638">
        <v>0.18</v>
      </c>
      <c r="AT69" s="643">
        <f t="shared" si="18"/>
        <v>1.6199999999999999</v>
      </c>
    </row>
    <row r="70" spans="1:52" ht="33" customHeight="1">
      <c r="A70" s="823">
        <v>8</v>
      </c>
      <c r="B70" s="806" t="s">
        <v>528</v>
      </c>
      <c r="C70" s="806" t="s">
        <v>279</v>
      </c>
      <c r="D70" s="568" t="s">
        <v>273</v>
      </c>
      <c r="E70" s="578">
        <f t="shared" si="29"/>
        <v>250</v>
      </c>
      <c r="F70" s="578"/>
      <c r="G70" s="569">
        <f aca="true" t="shared" si="36" ref="G70:Q70">SUM(G71:G73)</f>
        <v>0</v>
      </c>
      <c r="H70" s="586"/>
      <c r="I70" s="578">
        <f t="shared" si="36"/>
        <v>0</v>
      </c>
      <c r="J70" s="578"/>
      <c r="K70" s="569">
        <f t="shared" si="36"/>
        <v>0</v>
      </c>
      <c r="L70" s="569"/>
      <c r="M70" s="569">
        <f t="shared" si="36"/>
        <v>102</v>
      </c>
      <c r="N70" s="586"/>
      <c r="O70" s="569">
        <f t="shared" si="36"/>
        <v>148</v>
      </c>
      <c r="P70" s="569"/>
      <c r="Q70" s="569">
        <f t="shared" si="36"/>
        <v>0</v>
      </c>
      <c r="R70" s="569"/>
      <c r="S70" s="795" t="s">
        <v>347</v>
      </c>
      <c r="T70" s="821" t="s">
        <v>527</v>
      </c>
      <c r="U70" s="493">
        <f>SUM(U71:U73)</f>
        <v>180</v>
      </c>
      <c r="V70" s="493"/>
      <c r="W70" s="577">
        <f>SUM(W71:W73)</f>
        <v>33.205284088991405</v>
      </c>
      <c r="X70" s="577"/>
      <c r="Y70" s="577">
        <f>SUM(Y71:Y73)</f>
        <v>27.00443016</v>
      </c>
      <c r="Z70" s="577"/>
      <c r="AA70" s="577">
        <f>SUM(AA71:AA73)</f>
        <v>3.36148291490624</v>
      </c>
      <c r="AB70" s="577"/>
      <c r="AC70" s="577">
        <f>SUM(AC71:AC73)</f>
        <v>2.8393710140851636</v>
      </c>
      <c r="AD70" s="700"/>
      <c r="AF70" s="520"/>
      <c r="AH70" s="522">
        <v>22691</v>
      </c>
      <c r="AJ70" s="513">
        <v>106.23302983559877</v>
      </c>
      <c r="AK70" s="514">
        <v>105.1948604625895</v>
      </c>
      <c r="AL70" s="513">
        <v>104.86113485125321</v>
      </c>
      <c r="AM70" s="512">
        <v>12</v>
      </c>
      <c r="AN70" s="512">
        <v>1000000</v>
      </c>
      <c r="AO70" s="512">
        <v>0.12</v>
      </c>
      <c r="AP70" s="523">
        <f t="shared" si="22"/>
        <v>0</v>
      </c>
      <c r="AQ70" s="523">
        <f t="shared" si="19"/>
        <v>0</v>
      </c>
      <c r="AR70" s="523">
        <f t="shared" si="20"/>
        <v>0</v>
      </c>
      <c r="AS70" s="512">
        <v>0.18</v>
      </c>
      <c r="AT70" s="523">
        <f t="shared" si="18"/>
        <v>27</v>
      </c>
      <c r="AU70" s="526"/>
      <c r="AV70" s="526"/>
      <c r="AX70" s="527"/>
      <c r="AY70" s="527"/>
      <c r="AZ70" s="528"/>
    </row>
    <row r="71" spans="1:52" ht="33" customHeight="1">
      <c r="A71" s="823"/>
      <c r="B71" s="807"/>
      <c r="C71" s="807"/>
      <c r="D71" s="568">
        <v>2013</v>
      </c>
      <c r="E71" s="578">
        <f>G71+I71+K71+M71+O71+Q71</f>
        <v>250</v>
      </c>
      <c r="F71" s="578">
        <v>26.6</v>
      </c>
      <c r="G71" s="569">
        <v>0</v>
      </c>
      <c r="H71" s="586"/>
      <c r="I71" s="578">
        <v>0</v>
      </c>
      <c r="J71" s="578"/>
      <c r="K71" s="569">
        <v>0</v>
      </c>
      <c r="L71" s="569"/>
      <c r="M71" s="492">
        <v>102</v>
      </c>
      <c r="N71" s="586">
        <v>26.6</v>
      </c>
      <c r="O71" s="492">
        <v>148</v>
      </c>
      <c r="P71" s="492"/>
      <c r="Q71" s="569">
        <v>0</v>
      </c>
      <c r="R71" s="569"/>
      <c r="S71" s="763"/>
      <c r="T71" s="822"/>
      <c r="U71" s="493">
        <f>AE71</f>
        <v>60</v>
      </c>
      <c r="V71" s="493">
        <v>18</v>
      </c>
      <c r="W71" s="577">
        <f>Y71+AA71+AC71</f>
        <v>29.082701099519632</v>
      </c>
      <c r="X71" s="577">
        <v>0.3</v>
      </c>
      <c r="Y71" s="577">
        <f>AT71</f>
        <v>27</v>
      </c>
      <c r="Z71" s="577"/>
      <c r="AA71" s="577">
        <f>AR71</f>
        <v>1.1290322660495913</v>
      </c>
      <c r="AB71" s="577">
        <v>0.2</v>
      </c>
      <c r="AC71" s="577">
        <f>AQ71</f>
        <v>0.9536688334700383</v>
      </c>
      <c r="AD71" s="586">
        <v>0.1</v>
      </c>
      <c r="AE71" s="512">
        <f t="shared" si="35"/>
        <v>60</v>
      </c>
      <c r="AF71" s="525">
        <v>60</v>
      </c>
      <c r="AH71" s="522">
        <v>22691</v>
      </c>
      <c r="AJ71" s="513">
        <v>106.23302983559877</v>
      </c>
      <c r="AK71" s="514">
        <v>105.1948604625895</v>
      </c>
      <c r="AL71" s="513">
        <v>104.86113485125321</v>
      </c>
      <c r="AM71" s="512">
        <v>12</v>
      </c>
      <c r="AN71" s="512">
        <v>1000000</v>
      </c>
      <c r="AO71" s="512">
        <v>0.12</v>
      </c>
      <c r="AP71" s="523">
        <f t="shared" si="22"/>
        <v>2.0827010995196296</v>
      </c>
      <c r="AQ71" s="523">
        <f t="shared" si="19"/>
        <v>0.9536688334700383</v>
      </c>
      <c r="AR71" s="523">
        <f t="shared" si="20"/>
        <v>1.1290322660495913</v>
      </c>
      <c r="AS71" s="512">
        <v>0.18</v>
      </c>
      <c r="AT71" s="523">
        <f t="shared" si="18"/>
        <v>27</v>
      </c>
      <c r="AU71" s="526"/>
      <c r="AV71" s="526"/>
      <c r="AX71" s="527"/>
      <c r="AY71" s="527"/>
      <c r="AZ71" s="528"/>
    </row>
    <row r="72" spans="1:52" ht="33" customHeight="1">
      <c r="A72" s="823"/>
      <c r="B72" s="807"/>
      <c r="C72" s="807"/>
      <c r="D72" s="568">
        <v>2014</v>
      </c>
      <c r="E72" s="578">
        <v>0</v>
      </c>
      <c r="F72" s="578">
        <v>9.9</v>
      </c>
      <c r="G72" s="569">
        <v>0</v>
      </c>
      <c r="H72" s="586"/>
      <c r="I72" s="578">
        <v>0</v>
      </c>
      <c r="J72" s="578"/>
      <c r="K72" s="569">
        <v>0</v>
      </c>
      <c r="L72" s="569"/>
      <c r="M72" s="569">
        <v>0</v>
      </c>
      <c r="N72" s="586">
        <v>9.9</v>
      </c>
      <c r="O72" s="569">
        <v>0</v>
      </c>
      <c r="P72" s="569"/>
      <c r="Q72" s="569">
        <v>0</v>
      </c>
      <c r="R72" s="569"/>
      <c r="S72" s="763"/>
      <c r="T72" s="822"/>
      <c r="U72" s="493">
        <f>AE72</f>
        <v>60</v>
      </c>
      <c r="V72" s="493">
        <v>8</v>
      </c>
      <c r="W72" s="577">
        <f>Y72+AA72+AC72</f>
        <v>2.062347764045718</v>
      </c>
      <c r="X72" s="577">
        <v>3.7</v>
      </c>
      <c r="Y72" s="577">
        <f>AT72</f>
        <v>0</v>
      </c>
      <c r="Z72" s="577">
        <v>1.7</v>
      </c>
      <c r="AA72" s="577">
        <f>AR72</f>
        <v>1.117998722889184</v>
      </c>
      <c r="AB72" s="577">
        <v>1.2</v>
      </c>
      <c r="AC72" s="577">
        <f>AQ72</f>
        <v>0.9443490411565343</v>
      </c>
      <c r="AD72" s="702">
        <v>0.8</v>
      </c>
      <c r="AE72" s="512">
        <f t="shared" si="35"/>
        <v>60</v>
      </c>
      <c r="AF72" s="525">
        <v>60</v>
      </c>
      <c r="AH72" s="522">
        <v>22691</v>
      </c>
      <c r="AJ72" s="513">
        <v>106.23302983559877</v>
      </c>
      <c r="AK72" s="514">
        <v>105.1948604625895</v>
      </c>
      <c r="AL72" s="513">
        <v>104.86113485125321</v>
      </c>
      <c r="AM72" s="512">
        <v>12</v>
      </c>
      <c r="AN72" s="512">
        <v>1000000</v>
      </c>
      <c r="AO72" s="512">
        <v>0.12</v>
      </c>
      <c r="AP72" s="523">
        <f>AE72*AH72*AK72%*AM72/AN72*AO72</f>
        <v>2.062347764045718</v>
      </c>
      <c r="AQ72" s="523">
        <f t="shared" si="19"/>
        <v>0.9443490411565343</v>
      </c>
      <c r="AR72" s="523">
        <f t="shared" si="20"/>
        <v>1.117998722889184</v>
      </c>
      <c r="AS72" s="512">
        <v>0.18</v>
      </c>
      <c r="AT72" s="523">
        <f t="shared" si="18"/>
        <v>0</v>
      </c>
      <c r="AU72" s="526"/>
      <c r="AV72" s="526"/>
      <c r="AX72" s="527"/>
      <c r="AY72" s="527"/>
      <c r="AZ72" s="528"/>
    </row>
    <row r="73" spans="1:52" s="644" customFormat="1" ht="33" customHeight="1">
      <c r="A73" s="823"/>
      <c r="B73" s="807"/>
      <c r="C73" s="807"/>
      <c r="D73" s="647">
        <v>2015</v>
      </c>
      <c r="E73" s="650">
        <f>SUM(G73:Q73)</f>
        <v>0.04102</v>
      </c>
      <c r="F73" s="650">
        <v>0.041</v>
      </c>
      <c r="G73" s="634">
        <v>0</v>
      </c>
      <c r="H73" s="667"/>
      <c r="I73" s="650">
        <v>0</v>
      </c>
      <c r="J73" s="650"/>
      <c r="K73" s="634">
        <v>0</v>
      </c>
      <c r="L73" s="634"/>
      <c r="M73" s="634">
        <v>0</v>
      </c>
      <c r="N73" s="667">
        <v>0.04102</v>
      </c>
      <c r="O73" s="634">
        <v>0</v>
      </c>
      <c r="P73" s="634"/>
      <c r="Q73" s="634">
        <v>0</v>
      </c>
      <c r="R73" s="634"/>
      <c r="S73" s="763"/>
      <c r="T73" s="822"/>
      <c r="U73" s="637">
        <f>AE73</f>
        <v>60</v>
      </c>
      <c r="V73" s="637">
        <v>21</v>
      </c>
      <c r="W73" s="646">
        <f>SUM(Y73:AC73)</f>
        <v>2.060235225426056</v>
      </c>
      <c r="X73" s="646"/>
      <c r="Y73" s="646">
        <f>AT73</f>
        <v>0.00443016</v>
      </c>
      <c r="Z73" s="646"/>
      <c r="AA73" s="646">
        <f>AR73</f>
        <v>1.114451925967465</v>
      </c>
      <c r="AB73" s="646"/>
      <c r="AC73" s="646">
        <f>AQ73</f>
        <v>0.941353139458591</v>
      </c>
      <c r="AD73" s="701"/>
      <c r="AE73" s="638">
        <f t="shared" si="35"/>
        <v>60</v>
      </c>
      <c r="AF73" s="639">
        <v>60</v>
      </c>
      <c r="AG73" s="638"/>
      <c r="AH73" s="640">
        <v>22691</v>
      </c>
      <c r="AI73" s="638"/>
      <c r="AJ73" s="641">
        <v>106.23302983559877</v>
      </c>
      <c r="AK73" s="642">
        <v>105.1948604625895</v>
      </c>
      <c r="AL73" s="641">
        <v>104.86113485125321</v>
      </c>
      <c r="AM73" s="638">
        <v>12</v>
      </c>
      <c r="AN73" s="638">
        <v>1000000</v>
      </c>
      <c r="AO73" s="638">
        <v>0.12</v>
      </c>
      <c r="AP73" s="643">
        <f>AE73*AH73*AL73%*AM73/AN73*AO73</f>
        <v>2.055805065426056</v>
      </c>
      <c r="AQ73" s="643">
        <f t="shared" si="19"/>
        <v>0.941353139458591</v>
      </c>
      <c r="AR73" s="643">
        <f t="shared" si="20"/>
        <v>1.114451925967465</v>
      </c>
      <c r="AS73" s="638">
        <v>0.18</v>
      </c>
      <c r="AT73" s="643">
        <f t="shared" si="18"/>
        <v>0.00443016</v>
      </c>
      <c r="AU73" s="664"/>
      <c r="AV73" s="664"/>
      <c r="AX73" s="665"/>
      <c r="AY73" s="665"/>
      <c r="AZ73" s="666"/>
    </row>
    <row r="74" spans="1:64" ht="19.5" customHeight="1">
      <c r="A74" s="742">
        <v>9</v>
      </c>
      <c r="B74" s="742" t="s">
        <v>427</v>
      </c>
      <c r="C74" s="742" t="s">
        <v>548</v>
      </c>
      <c r="D74" s="489" t="s">
        <v>341</v>
      </c>
      <c r="E74" s="578">
        <f t="shared" si="29"/>
        <v>300</v>
      </c>
      <c r="F74" s="578"/>
      <c r="G74" s="569">
        <f aca="true" t="shared" si="37" ref="G74:Q74">SUM(G75:G77)</f>
        <v>0</v>
      </c>
      <c r="H74" s="586"/>
      <c r="I74" s="578">
        <f t="shared" si="37"/>
        <v>0</v>
      </c>
      <c r="J74" s="578"/>
      <c r="K74" s="569">
        <f t="shared" si="37"/>
        <v>0</v>
      </c>
      <c r="L74" s="569"/>
      <c r="M74" s="569">
        <f t="shared" si="37"/>
        <v>300</v>
      </c>
      <c r="N74" s="586"/>
      <c r="O74" s="569">
        <f t="shared" si="37"/>
        <v>0</v>
      </c>
      <c r="P74" s="569"/>
      <c r="Q74" s="569">
        <f t="shared" si="37"/>
        <v>0</v>
      </c>
      <c r="R74" s="569"/>
      <c r="S74" s="782" t="s">
        <v>9</v>
      </c>
      <c r="T74" s="788" t="s">
        <v>593</v>
      </c>
      <c r="U74" s="493">
        <f>SUM(U75:U77)</f>
        <v>50</v>
      </c>
      <c r="V74" s="493"/>
      <c r="W74" s="577">
        <f>SUM(W75:W77)</f>
        <v>34.11317088785504</v>
      </c>
      <c r="X74" s="577"/>
      <c r="Y74" s="577">
        <f>SUM(Y75:Y77)</f>
        <v>32.4</v>
      </c>
      <c r="Z74" s="577"/>
      <c r="AA74" s="577">
        <f>SUM(AA75:AA77)</f>
        <v>0.9287099383062205</v>
      </c>
      <c r="AB74" s="577"/>
      <c r="AC74" s="577">
        <f>SUM(AC75:AC77)</f>
        <v>0.7844609495488255</v>
      </c>
      <c r="AD74" s="700"/>
      <c r="AF74" s="520"/>
      <c r="AH74" s="522">
        <v>22691</v>
      </c>
      <c r="AJ74" s="513">
        <v>106.23302983559877</v>
      </c>
      <c r="AK74" s="514">
        <v>105.1948604625895</v>
      </c>
      <c r="AL74" s="513">
        <v>104.86113485125321</v>
      </c>
      <c r="AM74" s="512">
        <v>12</v>
      </c>
      <c r="AN74" s="512">
        <v>1000000</v>
      </c>
      <c r="AO74" s="512">
        <v>0.12</v>
      </c>
      <c r="AP74" s="523">
        <f t="shared" si="22"/>
        <v>0</v>
      </c>
      <c r="AQ74" s="523">
        <f t="shared" si="19"/>
        <v>0</v>
      </c>
      <c r="AR74" s="523">
        <f t="shared" si="20"/>
        <v>0</v>
      </c>
      <c r="AS74" s="512">
        <v>0.18</v>
      </c>
      <c r="AT74" s="523">
        <f t="shared" si="18"/>
        <v>32.4</v>
      </c>
      <c r="BC74" s="529"/>
      <c r="BD74" s="529"/>
      <c r="BE74" s="529"/>
      <c r="BF74" s="529"/>
      <c r="BG74" s="526"/>
      <c r="BH74" s="526"/>
      <c r="BJ74" s="527"/>
      <c r="BK74" s="527"/>
      <c r="BL74" s="528"/>
    </row>
    <row r="75" spans="1:64" ht="19.5" customHeight="1">
      <c r="A75" s="742"/>
      <c r="B75" s="742"/>
      <c r="C75" s="742"/>
      <c r="D75" s="489">
        <v>2013</v>
      </c>
      <c r="E75" s="578">
        <f t="shared" si="29"/>
        <v>0</v>
      </c>
      <c r="F75" s="578">
        <v>0</v>
      </c>
      <c r="G75" s="569">
        <v>0</v>
      </c>
      <c r="H75" s="586"/>
      <c r="I75" s="578">
        <v>0</v>
      </c>
      <c r="J75" s="578"/>
      <c r="K75" s="569">
        <v>0</v>
      </c>
      <c r="L75" s="569"/>
      <c r="M75" s="569">
        <v>0</v>
      </c>
      <c r="N75" s="586">
        <v>0</v>
      </c>
      <c r="O75" s="569">
        <v>0</v>
      </c>
      <c r="P75" s="569"/>
      <c r="Q75" s="569">
        <v>0</v>
      </c>
      <c r="R75" s="569"/>
      <c r="S75" s="782"/>
      <c r="T75" s="788"/>
      <c r="U75" s="493">
        <f>AE75</f>
        <v>0</v>
      </c>
      <c r="V75" s="493">
        <v>0</v>
      </c>
      <c r="W75" s="577">
        <f>SUM(Y75:AC75)</f>
        <v>0</v>
      </c>
      <c r="X75" s="577">
        <v>0</v>
      </c>
      <c r="Y75" s="577">
        <f>AT75</f>
        <v>0</v>
      </c>
      <c r="Z75" s="577">
        <v>0</v>
      </c>
      <c r="AA75" s="577">
        <f>AR75</f>
        <v>0</v>
      </c>
      <c r="AB75" s="577">
        <v>0</v>
      </c>
      <c r="AC75" s="577">
        <f>AQ75</f>
        <v>0</v>
      </c>
      <c r="AD75" s="700">
        <v>0</v>
      </c>
      <c r="AE75" s="512">
        <f t="shared" si="35"/>
        <v>0</v>
      </c>
      <c r="AF75" s="520">
        <v>0</v>
      </c>
      <c r="AH75" s="522">
        <v>22691</v>
      </c>
      <c r="AJ75" s="513">
        <v>106.23302983559877</v>
      </c>
      <c r="AK75" s="514">
        <v>105.1948604625895</v>
      </c>
      <c r="AL75" s="513">
        <v>104.86113485125321</v>
      </c>
      <c r="AM75" s="512">
        <v>12</v>
      </c>
      <c r="AN75" s="512">
        <v>1000000</v>
      </c>
      <c r="AO75" s="512">
        <v>0.12</v>
      </c>
      <c r="AP75" s="523">
        <f t="shared" si="22"/>
        <v>0</v>
      </c>
      <c r="AQ75" s="523">
        <f t="shared" si="19"/>
        <v>0</v>
      </c>
      <c r="AR75" s="523">
        <f t="shared" si="20"/>
        <v>0</v>
      </c>
      <c r="AS75" s="512">
        <v>0.18</v>
      </c>
      <c r="AT75" s="523">
        <f t="shared" si="18"/>
        <v>0</v>
      </c>
      <c r="BC75" s="529"/>
      <c r="BD75" s="529"/>
      <c r="BE75" s="529"/>
      <c r="BF75" s="529"/>
      <c r="BG75" s="526"/>
      <c r="BH75" s="526"/>
      <c r="BJ75" s="527"/>
      <c r="BK75" s="527"/>
      <c r="BL75" s="528"/>
    </row>
    <row r="76" spans="1:64" ht="19.5" customHeight="1">
      <c r="A76" s="742"/>
      <c r="B76" s="742"/>
      <c r="C76" s="742"/>
      <c r="D76" s="489">
        <v>2014</v>
      </c>
      <c r="E76" s="578">
        <v>0</v>
      </c>
      <c r="F76" s="578">
        <v>12.8</v>
      </c>
      <c r="G76" s="569">
        <v>0</v>
      </c>
      <c r="H76" s="586"/>
      <c r="I76" s="578">
        <v>0</v>
      </c>
      <c r="J76" s="578"/>
      <c r="K76" s="569">
        <v>0</v>
      </c>
      <c r="L76" s="569"/>
      <c r="M76" s="569">
        <v>0</v>
      </c>
      <c r="N76" s="586">
        <v>12.8</v>
      </c>
      <c r="O76" s="569">
        <v>0</v>
      </c>
      <c r="P76" s="569"/>
      <c r="Q76" s="569">
        <v>0</v>
      </c>
      <c r="R76" s="569"/>
      <c r="S76" s="782"/>
      <c r="T76" s="788"/>
      <c r="U76" s="493">
        <f>AE76</f>
        <v>0</v>
      </c>
      <c r="V76" s="493"/>
      <c r="W76" s="577">
        <v>0</v>
      </c>
      <c r="X76" s="577">
        <v>2.94</v>
      </c>
      <c r="Y76" s="577">
        <v>0</v>
      </c>
      <c r="Z76" s="577">
        <v>2.3</v>
      </c>
      <c r="AA76" s="577">
        <f>AR76</f>
        <v>0</v>
      </c>
      <c r="AB76" s="577">
        <v>0.37</v>
      </c>
      <c r="AC76" s="577">
        <f>AQ76</f>
        <v>0</v>
      </c>
      <c r="AD76" s="700">
        <v>0.266</v>
      </c>
      <c r="AE76" s="512">
        <f t="shared" si="35"/>
        <v>0</v>
      </c>
      <c r="AF76" s="520">
        <v>0</v>
      </c>
      <c r="AH76" s="522">
        <v>22691</v>
      </c>
      <c r="AJ76" s="513">
        <v>106.23302983559877</v>
      </c>
      <c r="AK76" s="514">
        <v>105.1948604625895</v>
      </c>
      <c r="AL76" s="513">
        <v>104.86113485125321</v>
      </c>
      <c r="AM76" s="512">
        <v>12</v>
      </c>
      <c r="AN76" s="512">
        <v>1000000</v>
      </c>
      <c r="AO76" s="512">
        <v>0.12</v>
      </c>
      <c r="AP76" s="523">
        <f t="shared" si="22"/>
        <v>0</v>
      </c>
      <c r="AQ76" s="523">
        <f t="shared" si="19"/>
        <v>0</v>
      </c>
      <c r="AR76" s="523">
        <f t="shared" si="20"/>
        <v>0</v>
      </c>
      <c r="AS76" s="512">
        <v>0.18</v>
      </c>
      <c r="AT76" s="523">
        <f t="shared" si="18"/>
        <v>0</v>
      </c>
      <c r="BC76" s="529"/>
      <c r="BD76" s="529"/>
      <c r="BE76" s="529"/>
      <c r="BF76" s="529"/>
      <c r="BG76" s="526"/>
      <c r="BH76" s="526"/>
      <c r="BJ76" s="527"/>
      <c r="BK76" s="527"/>
      <c r="BL76" s="528"/>
    </row>
    <row r="77" spans="1:64" s="644" customFormat="1" ht="19.5" customHeight="1">
      <c r="A77" s="742"/>
      <c r="B77" s="742"/>
      <c r="C77" s="742"/>
      <c r="D77" s="633">
        <v>2015</v>
      </c>
      <c r="E77" s="650">
        <v>300</v>
      </c>
      <c r="F77" s="650">
        <v>3.017</v>
      </c>
      <c r="G77" s="634">
        <v>0</v>
      </c>
      <c r="H77" s="667"/>
      <c r="I77" s="650">
        <v>0</v>
      </c>
      <c r="J77" s="650"/>
      <c r="K77" s="634">
        <v>0</v>
      </c>
      <c r="L77" s="634"/>
      <c r="M77" s="635">
        <v>300</v>
      </c>
      <c r="N77" s="661">
        <v>3.017</v>
      </c>
      <c r="O77" s="634">
        <v>0</v>
      </c>
      <c r="P77" s="634"/>
      <c r="Q77" s="634">
        <v>0</v>
      </c>
      <c r="R77" s="634"/>
      <c r="S77" s="782"/>
      <c r="T77" s="788"/>
      <c r="U77" s="637">
        <f>AE77</f>
        <v>50</v>
      </c>
      <c r="V77" s="637">
        <v>40</v>
      </c>
      <c r="W77" s="646">
        <f>Y77+AA77+AC77</f>
        <v>34.11317088785504</v>
      </c>
      <c r="X77" s="646">
        <v>2.553</v>
      </c>
      <c r="Y77" s="646">
        <f>AT77</f>
        <v>32.4</v>
      </c>
      <c r="Z77" s="646">
        <v>0.8</v>
      </c>
      <c r="AA77" s="646">
        <f>AR77</f>
        <v>0.9287099383062205</v>
      </c>
      <c r="AB77" s="646"/>
      <c r="AC77" s="646">
        <f>AQ77</f>
        <v>0.7844609495488255</v>
      </c>
      <c r="AD77" s="701"/>
      <c r="AE77" s="638">
        <f t="shared" si="35"/>
        <v>50</v>
      </c>
      <c r="AF77" s="639">
        <v>50</v>
      </c>
      <c r="AG77" s="638"/>
      <c r="AH77" s="640">
        <v>22691</v>
      </c>
      <c r="AI77" s="638"/>
      <c r="AJ77" s="641">
        <v>106.23302983559877</v>
      </c>
      <c r="AK77" s="642">
        <v>105.1948604625895</v>
      </c>
      <c r="AL77" s="641">
        <v>104.86113485125321</v>
      </c>
      <c r="AM77" s="638">
        <v>12</v>
      </c>
      <c r="AN77" s="638">
        <v>1000000</v>
      </c>
      <c r="AO77" s="638">
        <v>0.12</v>
      </c>
      <c r="AP77" s="643">
        <f>AE77*AH77*AL77%*AM77/AN77*AO77</f>
        <v>1.713170887855046</v>
      </c>
      <c r="AQ77" s="643">
        <f t="shared" si="19"/>
        <v>0.7844609495488255</v>
      </c>
      <c r="AR77" s="643">
        <f t="shared" si="20"/>
        <v>0.9287099383062205</v>
      </c>
      <c r="AS77" s="638">
        <v>0.18</v>
      </c>
      <c r="AT77" s="643">
        <f t="shared" si="18"/>
        <v>32.4</v>
      </c>
      <c r="BC77" s="717"/>
      <c r="BD77" s="717"/>
      <c r="BE77" s="717"/>
      <c r="BF77" s="717"/>
      <c r="BG77" s="664"/>
      <c r="BH77" s="664"/>
      <c r="BJ77" s="665"/>
      <c r="BK77" s="665"/>
      <c r="BL77" s="666"/>
    </row>
    <row r="78" spans="1:46" ht="18" customHeight="1">
      <c r="A78" s="777" t="s">
        <v>370</v>
      </c>
      <c r="B78" s="777"/>
      <c r="C78" s="777"/>
      <c r="D78" s="777"/>
      <c r="E78" s="777"/>
      <c r="F78" s="777"/>
      <c r="G78" s="777"/>
      <c r="H78" s="777"/>
      <c r="I78" s="777"/>
      <c r="J78" s="777"/>
      <c r="K78" s="777"/>
      <c r="L78" s="777"/>
      <c r="M78" s="777"/>
      <c r="N78" s="777"/>
      <c r="O78" s="777"/>
      <c r="P78" s="777"/>
      <c r="Q78" s="777"/>
      <c r="R78" s="777"/>
      <c r="S78" s="777"/>
      <c r="T78" s="777"/>
      <c r="U78" s="777"/>
      <c r="V78" s="777"/>
      <c r="W78" s="777"/>
      <c r="X78" s="777"/>
      <c r="Y78" s="777"/>
      <c r="Z78" s="777"/>
      <c r="AA78" s="777"/>
      <c r="AB78" s="577"/>
      <c r="AC78" s="577"/>
      <c r="AD78" s="703"/>
      <c r="AJ78" s="513">
        <v>106.23302983559877</v>
      </c>
      <c r="AK78" s="514">
        <v>105.1948604625895</v>
      </c>
      <c r="AL78" s="513">
        <v>104.86113485125321</v>
      </c>
      <c r="AM78" s="512">
        <v>12</v>
      </c>
      <c r="AN78" s="512">
        <v>1000000</v>
      </c>
      <c r="AO78" s="512">
        <v>0.12</v>
      </c>
      <c r="AP78" s="523">
        <f t="shared" si="22"/>
        <v>0</v>
      </c>
      <c r="AQ78" s="523">
        <f t="shared" si="19"/>
        <v>0</v>
      </c>
      <c r="AR78" s="523">
        <f t="shared" si="20"/>
        <v>0</v>
      </c>
      <c r="AS78" s="512">
        <v>0.18</v>
      </c>
      <c r="AT78" s="523">
        <f t="shared" si="18"/>
        <v>0</v>
      </c>
    </row>
    <row r="79" spans="1:46" s="553" customFormat="1" ht="21" customHeight="1">
      <c r="A79" s="771"/>
      <c r="B79" s="771" t="s">
        <v>371</v>
      </c>
      <c r="C79" s="771"/>
      <c r="D79" s="558" t="s">
        <v>273</v>
      </c>
      <c r="E79" s="594">
        <f>E80+E81+E82</f>
        <v>7699.916499999999</v>
      </c>
      <c r="F79" s="594">
        <f>SUM(F80:F82)</f>
        <v>185.6737</v>
      </c>
      <c r="G79" s="620">
        <f aca="true" t="shared" si="38" ref="G79:Q79">SUM(G80:G82)</f>
        <v>1126</v>
      </c>
      <c r="H79" s="685">
        <f>SUM(H80:H82)</f>
        <v>0</v>
      </c>
      <c r="I79" s="594">
        <f t="shared" si="38"/>
        <v>1126</v>
      </c>
      <c r="J79" s="594">
        <f>SUM(J80:J82)</f>
        <v>0</v>
      </c>
      <c r="K79" s="620">
        <f t="shared" si="38"/>
        <v>0</v>
      </c>
      <c r="L79" s="620">
        <f>SUM(L80:L82)</f>
        <v>0</v>
      </c>
      <c r="M79" s="620">
        <f t="shared" si="38"/>
        <v>4867.66</v>
      </c>
      <c r="N79" s="685">
        <f>SUM(N80:N82)</f>
        <v>185.6737</v>
      </c>
      <c r="O79" s="620">
        <f t="shared" si="38"/>
        <v>566.2</v>
      </c>
      <c r="P79" s="620">
        <f>SUM(P80:P82)</f>
        <v>0</v>
      </c>
      <c r="Q79" s="620">
        <f t="shared" si="38"/>
        <v>0</v>
      </c>
      <c r="R79" s="620">
        <f>SUM(R80:R82)</f>
        <v>0</v>
      </c>
      <c r="S79" s="766"/>
      <c r="T79" s="766"/>
      <c r="U79" s="559">
        <f>SUM(U80:U82)</f>
        <v>1316</v>
      </c>
      <c r="V79" s="559"/>
      <c r="W79" s="594">
        <f aca="true" t="shared" si="39" ref="W79:AD79">SUM(W80:W82)</f>
        <v>853.7360904223151</v>
      </c>
      <c r="X79" s="594">
        <f t="shared" si="39"/>
        <v>99.6259</v>
      </c>
      <c r="Y79" s="594">
        <f t="shared" si="39"/>
        <v>831.5909819999999</v>
      </c>
      <c r="Z79" s="594">
        <f t="shared" si="39"/>
        <v>52.62</v>
      </c>
      <c r="AA79" s="594">
        <f t="shared" si="39"/>
        <v>12.004863275737069</v>
      </c>
      <c r="AB79" s="594">
        <f t="shared" si="39"/>
        <v>4.6289</v>
      </c>
      <c r="AC79" s="594">
        <f t="shared" si="39"/>
        <v>10.140245146578128</v>
      </c>
      <c r="AD79" s="685">
        <f t="shared" si="39"/>
        <v>4.7059999999999995</v>
      </c>
      <c r="AE79" s="554"/>
      <c r="AF79" s="677">
        <f>SUM(AF80:AF82)</f>
        <v>456</v>
      </c>
      <c r="AG79" s="677">
        <f>SUM(AG80:AG82)</f>
        <v>860</v>
      </c>
      <c r="AH79" s="554"/>
      <c r="AI79" s="554"/>
      <c r="AJ79" s="555">
        <v>106.23302983559877</v>
      </c>
      <c r="AK79" s="556">
        <v>105.1948604625895</v>
      </c>
      <c r="AL79" s="555">
        <v>104.86113485125321</v>
      </c>
      <c r="AM79" s="554">
        <v>12</v>
      </c>
      <c r="AN79" s="554">
        <v>1000000</v>
      </c>
      <c r="AO79" s="554">
        <v>0.12</v>
      </c>
      <c r="AP79" s="563">
        <f t="shared" si="22"/>
        <v>0</v>
      </c>
      <c r="AQ79" s="563">
        <f t="shared" si="19"/>
        <v>0</v>
      </c>
      <c r="AR79" s="563">
        <f t="shared" si="20"/>
        <v>0</v>
      </c>
      <c r="AS79" s="554">
        <v>0.18</v>
      </c>
      <c r="AT79" s="563">
        <f t="shared" si="18"/>
        <v>831.5909819999999</v>
      </c>
    </row>
    <row r="80" spans="1:46" s="553" customFormat="1" ht="21" customHeight="1">
      <c r="A80" s="771"/>
      <c r="B80" s="771"/>
      <c r="C80" s="771"/>
      <c r="D80" s="558">
        <v>2013</v>
      </c>
      <c r="E80" s="594">
        <f>G80+I80+K80+M80+O80+Q80</f>
        <v>1490.45</v>
      </c>
      <c r="F80" s="594">
        <f>F89+F97+F110+F122+F126+F114</f>
        <v>84.29</v>
      </c>
      <c r="G80" s="620">
        <f>G84+G89+G93+G97+G101+G110+G114+G118+G105+G122+G126</f>
        <v>520</v>
      </c>
      <c r="H80" s="685">
        <f>H97+H110+H126</f>
        <v>0</v>
      </c>
      <c r="I80" s="594">
        <f aca="true" t="shared" si="40" ref="G80:Q82">I84+I89+I93+I97+I101+I110+I114+I118+I105+I122+I126</f>
        <v>575.85</v>
      </c>
      <c r="J80" s="594">
        <f>J97+J110+J126</f>
        <v>0</v>
      </c>
      <c r="K80" s="620">
        <f t="shared" si="40"/>
        <v>0</v>
      </c>
      <c r="L80" s="620">
        <f>L97+L110+L126</f>
        <v>0</v>
      </c>
      <c r="M80" s="620">
        <f t="shared" si="40"/>
        <v>81.9</v>
      </c>
      <c r="N80" s="685">
        <f>N89+N97+N110+N114+N126</f>
        <v>84.29</v>
      </c>
      <c r="O80" s="620">
        <f t="shared" si="40"/>
        <v>312.7</v>
      </c>
      <c r="P80" s="620">
        <f>P122</f>
        <v>0</v>
      </c>
      <c r="Q80" s="620">
        <f t="shared" si="40"/>
        <v>0</v>
      </c>
      <c r="R80" s="620">
        <f>R97+R110+R126</f>
        <v>0</v>
      </c>
      <c r="S80" s="766"/>
      <c r="T80" s="766"/>
      <c r="U80" s="559">
        <f>U84+U89+U93+U97+U101+U110+U114+U118+U105+U122+U126</f>
        <v>53</v>
      </c>
      <c r="V80" s="559">
        <f>V89+V110+V126+V97</f>
        <v>12</v>
      </c>
      <c r="W80" s="594">
        <f>Y80+AA80+AC80</f>
        <v>161.86328522876877</v>
      </c>
      <c r="X80" s="594">
        <f>X97+X110+X89+X114+X126</f>
        <v>1.1209000000000002</v>
      </c>
      <c r="Y80" s="594">
        <f>Y84+Y89+Y93+Y97+Y101+Y110+Y114+Y118+Y105+Y122+Y126</f>
        <v>160.96859999999998</v>
      </c>
      <c r="Z80" s="594">
        <f>Z97+Z110+Z89+Z114+Z126</f>
        <v>0.45</v>
      </c>
      <c r="AA80" s="594">
        <f aca="true" t="shared" si="41" ref="Y80:AC82">AA84+AA89+AA93+AA97+AA101+AA110+AA114+AA118+AA105+AA122+AA126</f>
        <v>0.4850088625155595</v>
      </c>
      <c r="AB80" s="594">
        <f>AB97+AB110+AB89+AB114+AB126</f>
        <v>0.043899999999999995</v>
      </c>
      <c r="AC80" s="594">
        <f t="shared" si="41"/>
        <v>0.4096763662532277</v>
      </c>
      <c r="AD80" s="685">
        <f>AD97+AD110+AD89+AD114+AD126</f>
        <v>0.047</v>
      </c>
      <c r="AE80" s="554"/>
      <c r="AF80" s="677">
        <f aca="true" t="shared" si="42" ref="AF80:AG82">AF84+AF89+AF93+AF97+AF101+AF110+AF114+AF118+AF105+AF122+AF126</f>
        <v>53</v>
      </c>
      <c r="AG80" s="677">
        <f t="shared" si="42"/>
        <v>0</v>
      </c>
      <c r="AH80" s="554"/>
      <c r="AI80" s="554"/>
      <c r="AJ80" s="555">
        <v>106.23302983559877</v>
      </c>
      <c r="AK80" s="556">
        <v>105.1948604625895</v>
      </c>
      <c r="AL80" s="555">
        <v>104.86113485125321</v>
      </c>
      <c r="AM80" s="554">
        <v>12</v>
      </c>
      <c r="AN80" s="554">
        <v>1000000</v>
      </c>
      <c r="AO80" s="554">
        <v>0.12</v>
      </c>
      <c r="AP80" s="563">
        <f t="shared" si="22"/>
        <v>0</v>
      </c>
      <c r="AQ80" s="563">
        <f t="shared" si="19"/>
        <v>0</v>
      </c>
      <c r="AR80" s="563">
        <f t="shared" si="20"/>
        <v>0</v>
      </c>
      <c r="AS80" s="554">
        <v>0.18</v>
      </c>
      <c r="AT80" s="563">
        <f t="shared" si="18"/>
        <v>160.96859999999998</v>
      </c>
    </row>
    <row r="81" spans="1:46" s="553" customFormat="1" ht="21" customHeight="1">
      <c r="A81" s="771"/>
      <c r="B81" s="771"/>
      <c r="C81" s="771"/>
      <c r="D81" s="558">
        <v>2014</v>
      </c>
      <c r="E81" s="594">
        <f>G81+I81+K81+M81+O81+Q81</f>
        <v>3915.0099999999998</v>
      </c>
      <c r="F81" s="594">
        <f>F98+F127+F102</f>
        <v>68.44999999999999</v>
      </c>
      <c r="G81" s="620">
        <f t="shared" si="40"/>
        <v>606</v>
      </c>
      <c r="H81" s="685">
        <f>H98+H127</f>
        <v>0</v>
      </c>
      <c r="I81" s="594">
        <f t="shared" si="40"/>
        <v>550.15</v>
      </c>
      <c r="J81" s="594">
        <f>J98+J127</f>
        <v>0</v>
      </c>
      <c r="K81" s="620">
        <f t="shared" si="40"/>
        <v>0</v>
      </c>
      <c r="L81" s="620">
        <f>L98+L127</f>
        <v>0</v>
      </c>
      <c r="M81" s="620">
        <f t="shared" si="40"/>
        <v>2700.3599999999997</v>
      </c>
      <c r="N81" s="685">
        <f>N98+N127+N102</f>
        <v>68.44999999999999</v>
      </c>
      <c r="O81" s="620">
        <f t="shared" si="40"/>
        <v>58.5</v>
      </c>
      <c r="P81" s="620"/>
      <c r="Q81" s="620">
        <f t="shared" si="40"/>
        <v>0</v>
      </c>
      <c r="R81" s="620"/>
      <c r="S81" s="766"/>
      <c r="T81" s="766"/>
      <c r="U81" s="559">
        <f>U85+U90+U94+U98+U102+U111+U115+U119+U106+U123+U127</f>
        <v>455</v>
      </c>
      <c r="V81" s="620">
        <f>V98+V127</f>
        <v>24</v>
      </c>
      <c r="W81" s="594">
        <f>Y81+AA81+AC81</f>
        <v>430.4989175451481</v>
      </c>
      <c r="X81" s="594">
        <f>X98+X127+X90+X102</f>
        <v>28.525000000000002</v>
      </c>
      <c r="Y81" s="594">
        <f t="shared" si="41"/>
        <v>422.82108</v>
      </c>
      <c r="Z81" s="594">
        <f>Z98+Z127+Z102</f>
        <v>21.27</v>
      </c>
      <c r="AA81" s="594">
        <f t="shared" si="41"/>
        <v>4.1621557332247985</v>
      </c>
      <c r="AB81" s="594">
        <f>AB98+AB127+AB90</f>
        <v>3.3049999999999997</v>
      </c>
      <c r="AC81" s="594">
        <f t="shared" si="41"/>
        <v>3.5156818119233266</v>
      </c>
      <c r="AD81" s="685">
        <f>AD98+AD127+AD90+AD102+AD123</f>
        <v>3.759</v>
      </c>
      <c r="AE81" s="554"/>
      <c r="AF81" s="677">
        <f t="shared" si="42"/>
        <v>95</v>
      </c>
      <c r="AG81" s="677">
        <f t="shared" si="42"/>
        <v>360</v>
      </c>
      <c r="AH81" s="554"/>
      <c r="AI81" s="554"/>
      <c r="AJ81" s="555">
        <v>106.23302983559877</v>
      </c>
      <c r="AK81" s="556">
        <v>105.1948604625895</v>
      </c>
      <c r="AL81" s="555">
        <v>104.86113485125321</v>
      </c>
      <c r="AM81" s="554">
        <v>12</v>
      </c>
      <c r="AN81" s="554">
        <v>1000000</v>
      </c>
      <c r="AO81" s="554">
        <v>0.12</v>
      </c>
      <c r="AP81" s="563">
        <f t="shared" si="22"/>
        <v>0</v>
      </c>
      <c r="AQ81" s="563">
        <f t="shared" si="19"/>
        <v>0</v>
      </c>
      <c r="AR81" s="563">
        <f t="shared" si="20"/>
        <v>0</v>
      </c>
      <c r="AS81" s="554">
        <v>0.18</v>
      </c>
      <c r="AT81" s="563">
        <f t="shared" si="18"/>
        <v>422.82107999999994</v>
      </c>
    </row>
    <row r="82" spans="1:46" s="553" customFormat="1" ht="60" customHeight="1">
      <c r="A82" s="771"/>
      <c r="B82" s="771"/>
      <c r="C82" s="771"/>
      <c r="D82" s="558">
        <v>2015</v>
      </c>
      <c r="E82" s="594">
        <f>E86+E91+E95+E99+E103+E107+E112+E116+E120+E124+E128</f>
        <v>2294.4565</v>
      </c>
      <c r="F82" s="594">
        <f>F91+F95+F99+F103+F107+F112+F116+F120+F124+F128+F86</f>
        <v>32.9337</v>
      </c>
      <c r="G82" s="620">
        <f t="shared" si="40"/>
        <v>0</v>
      </c>
      <c r="H82" s="685">
        <f>H91+H95+H99+H103+H107+H112+H116+H120+H124+H128+H86</f>
        <v>0</v>
      </c>
      <c r="I82" s="594">
        <f t="shared" si="40"/>
        <v>0</v>
      </c>
      <c r="J82" s="594">
        <f>J91+J95+J99+J103+J107+J112+J116+J120+J124+J128+J86</f>
        <v>0</v>
      </c>
      <c r="K82" s="620">
        <f t="shared" si="40"/>
        <v>0</v>
      </c>
      <c r="L82" s="560">
        <f>L91+L95+L99+L103+L107+L112+L116+L120+L124+L128+L86</f>
        <v>0</v>
      </c>
      <c r="M82" s="620">
        <f t="shared" si="40"/>
        <v>2085.4</v>
      </c>
      <c r="N82" s="685">
        <f>N86+N91+N95+N99+N103+N107+N112+N116+N120+N124+N128</f>
        <v>32.9337</v>
      </c>
      <c r="O82" s="620">
        <f t="shared" si="40"/>
        <v>195</v>
      </c>
      <c r="P82" s="560">
        <f>P91+P95+P99+P103+P107+P112+P116+P120+P124+P128+P86</f>
        <v>0</v>
      </c>
      <c r="Q82" s="620">
        <f t="shared" si="40"/>
        <v>0</v>
      </c>
      <c r="R82" s="560">
        <f>R91+R95+R99+R103+R107+R112+R116+R120+R124+R128+R86</f>
        <v>0</v>
      </c>
      <c r="S82" s="766"/>
      <c r="T82" s="766"/>
      <c r="U82" s="559">
        <f>U86+U91+U95+U99+U103+U112+U116+U120+U107+U124+U128</f>
        <v>808</v>
      </c>
      <c r="V82" s="560" t="s">
        <v>838</v>
      </c>
      <c r="W82" s="594">
        <f>Y82+AA82+AC82</f>
        <v>261.37388764839824</v>
      </c>
      <c r="X82" s="594">
        <f>X91+X95+X99+X103+X107+X112+X116+X120+X124+X128+X86</f>
        <v>69.98</v>
      </c>
      <c r="Y82" s="594">
        <f t="shared" si="41"/>
        <v>247.80130199999996</v>
      </c>
      <c r="Z82" s="594">
        <f>Z91+Z95+Z99+Z103+Z107+Z112+Z116+Z120+Z124+Z128+Z86</f>
        <v>30.9</v>
      </c>
      <c r="AA82" s="594">
        <f t="shared" si="41"/>
        <v>7.35769867999671</v>
      </c>
      <c r="AB82" s="594">
        <f>AB91+AB95+AB99+AB103+AB107+AB112+AB116+AB120+AB124+AB128+AB86</f>
        <v>1.28</v>
      </c>
      <c r="AC82" s="594">
        <f t="shared" si="41"/>
        <v>6.214886968401574</v>
      </c>
      <c r="AD82" s="685">
        <f>AD91+AD95+AD99+AD103+AD107+AD112+AD116+AD120+AD124+AD128+AD86</f>
        <v>0.8999999999999999</v>
      </c>
      <c r="AE82" s="554"/>
      <c r="AF82" s="677">
        <f t="shared" si="42"/>
        <v>308</v>
      </c>
      <c r="AG82" s="677">
        <f t="shared" si="42"/>
        <v>500</v>
      </c>
      <c r="AH82" s="554"/>
      <c r="AI82" s="554"/>
      <c r="AJ82" s="555">
        <v>106.23302983559877</v>
      </c>
      <c r="AK82" s="556">
        <v>105.1948604625895</v>
      </c>
      <c r="AL82" s="555">
        <v>104.86113485125321</v>
      </c>
      <c r="AM82" s="554">
        <v>12</v>
      </c>
      <c r="AN82" s="554">
        <v>1000000</v>
      </c>
      <c r="AO82" s="554">
        <v>0.12</v>
      </c>
      <c r="AP82" s="563">
        <f t="shared" si="22"/>
        <v>0</v>
      </c>
      <c r="AQ82" s="563">
        <f t="shared" si="19"/>
        <v>0</v>
      </c>
      <c r="AR82" s="563">
        <f t="shared" si="20"/>
        <v>0</v>
      </c>
      <c r="AS82" s="554">
        <v>0.18</v>
      </c>
      <c r="AT82" s="563">
        <f t="shared" si="18"/>
        <v>247.80130199999996</v>
      </c>
    </row>
    <row r="83" spans="1:75" ht="37.5" customHeight="1">
      <c r="A83" s="763">
        <v>1</v>
      </c>
      <c r="B83" s="742" t="s">
        <v>599</v>
      </c>
      <c r="C83" s="742" t="s">
        <v>446</v>
      </c>
      <c r="D83" s="489" t="s">
        <v>273</v>
      </c>
      <c r="E83" s="578">
        <f>SUM(G83:Q83)</f>
        <v>5813.8099999999995</v>
      </c>
      <c r="F83" s="578"/>
      <c r="G83" s="576">
        <f aca="true" t="shared" si="43" ref="G83:Q83">SUM(G84:G86)</f>
        <v>1126</v>
      </c>
      <c r="H83" s="622"/>
      <c r="I83" s="577">
        <f t="shared" si="43"/>
        <v>1126</v>
      </c>
      <c r="J83" s="577"/>
      <c r="K83" s="576">
        <f t="shared" si="43"/>
        <v>0</v>
      </c>
      <c r="L83" s="576"/>
      <c r="M83" s="576">
        <f t="shared" si="43"/>
        <v>3561.81</v>
      </c>
      <c r="N83" s="622"/>
      <c r="O83" s="576">
        <f t="shared" si="43"/>
        <v>0</v>
      </c>
      <c r="P83" s="576"/>
      <c r="Q83" s="576">
        <f t="shared" si="43"/>
        <v>0</v>
      </c>
      <c r="R83" s="576"/>
      <c r="S83" s="782" t="s">
        <v>14</v>
      </c>
      <c r="T83" s="788" t="s">
        <v>500</v>
      </c>
      <c r="U83" s="493">
        <f>SUM(U84:U86)</f>
        <v>860</v>
      </c>
      <c r="V83" s="493"/>
      <c r="W83" s="577">
        <f>SUM(W84:W86)</f>
        <v>643.9271159007765</v>
      </c>
      <c r="X83" s="577"/>
      <c r="Y83" s="577">
        <f>SUM(Y84:Y86)</f>
        <v>629.4095819999999</v>
      </c>
      <c r="Z83" s="577"/>
      <c r="AA83" s="577">
        <f>SUM(AA84:AA86)</f>
        <v>7.869955127610968</v>
      </c>
      <c r="AB83" s="577"/>
      <c r="AC83" s="577">
        <f>SUM(AC84:AC86)</f>
        <v>6.647578773165581</v>
      </c>
      <c r="AD83" s="622"/>
      <c r="AF83" s="520"/>
      <c r="AG83" s="530"/>
      <c r="AH83" s="512">
        <v>11035</v>
      </c>
      <c r="AJ83" s="513">
        <v>106.23302983559877</v>
      </c>
      <c r="AK83" s="514">
        <v>105.1948604625895</v>
      </c>
      <c r="AL83" s="513">
        <v>104.86113485125321</v>
      </c>
      <c r="AM83" s="512">
        <v>12</v>
      </c>
      <c r="AN83" s="512">
        <v>1000000</v>
      </c>
      <c r="AO83" s="512">
        <v>0.12</v>
      </c>
      <c r="AP83" s="523">
        <f t="shared" si="22"/>
        <v>0</v>
      </c>
      <c r="AQ83" s="523">
        <f t="shared" si="19"/>
        <v>0</v>
      </c>
      <c r="AR83" s="523">
        <f t="shared" si="20"/>
        <v>0</v>
      </c>
      <c r="AS83" s="512">
        <v>0.18</v>
      </c>
      <c r="AT83" s="523">
        <f t="shared" si="18"/>
        <v>627.8914799999999</v>
      </c>
      <c r="AU83" s="517"/>
      <c r="AV83" s="517"/>
      <c r="AW83" s="517"/>
      <c r="AX83" s="517"/>
      <c r="AY83" s="517"/>
      <c r="AZ83" s="517"/>
      <c r="BA83" s="517"/>
      <c r="BB83" s="517"/>
      <c r="BC83" s="517"/>
      <c r="BH83" s="531"/>
      <c r="BK83" s="529"/>
      <c r="BL83" s="529"/>
      <c r="BM83" s="529"/>
      <c r="BN83" s="529"/>
      <c r="BO83" s="526"/>
      <c r="BP83" s="526"/>
      <c r="BR83" s="527"/>
      <c r="BS83" s="527"/>
      <c r="BT83" s="528"/>
      <c r="BW83" s="516" t="e">
        <f>G83-#REF!</f>
        <v>#REF!</v>
      </c>
    </row>
    <row r="84" spans="1:75" ht="37.5" customHeight="1">
      <c r="A84" s="763"/>
      <c r="B84" s="742"/>
      <c r="C84" s="742"/>
      <c r="D84" s="489">
        <v>2013</v>
      </c>
      <c r="E84" s="578">
        <f>G84+I84+K84+M84+O84+Q84</f>
        <v>1095.85</v>
      </c>
      <c r="F84" s="578">
        <v>9.59</v>
      </c>
      <c r="G84" s="576">
        <v>520</v>
      </c>
      <c r="H84" s="622">
        <v>9.59</v>
      </c>
      <c r="I84" s="577">
        <v>575.85</v>
      </c>
      <c r="J84" s="577"/>
      <c r="K84" s="576">
        <v>0</v>
      </c>
      <c r="L84" s="576"/>
      <c r="M84" s="576">
        <v>0</v>
      </c>
      <c r="N84" s="622"/>
      <c r="O84" s="576">
        <v>0</v>
      </c>
      <c r="P84" s="576"/>
      <c r="Q84" s="576">
        <v>0</v>
      </c>
      <c r="R84" s="576"/>
      <c r="S84" s="782"/>
      <c r="T84" s="788"/>
      <c r="U84" s="493">
        <f>AE84</f>
        <v>0</v>
      </c>
      <c r="V84" s="493"/>
      <c r="W84" s="577">
        <f>SUM(Y84:AC84)</f>
        <v>118.35179999999997</v>
      </c>
      <c r="X84" s="577"/>
      <c r="Y84" s="577">
        <f>AT84</f>
        <v>118.35179999999997</v>
      </c>
      <c r="Z84" s="577"/>
      <c r="AA84" s="577">
        <f>AR84</f>
        <v>0</v>
      </c>
      <c r="AB84" s="577"/>
      <c r="AC84" s="577">
        <f>AQ84</f>
        <v>0</v>
      </c>
      <c r="AD84" s="622"/>
      <c r="AE84" s="512">
        <f t="shared" si="35"/>
        <v>0</v>
      </c>
      <c r="AF84" s="520"/>
      <c r="AG84" s="520"/>
      <c r="AH84" s="512">
        <v>11035</v>
      </c>
      <c r="AJ84" s="513">
        <v>106.23302983559877</v>
      </c>
      <c r="AK84" s="514">
        <v>105.1948604625895</v>
      </c>
      <c r="AL84" s="513">
        <v>104.86113485125321</v>
      </c>
      <c r="AM84" s="512">
        <v>12</v>
      </c>
      <c r="AN84" s="512">
        <v>1000000</v>
      </c>
      <c r="AO84" s="512">
        <v>0.12</v>
      </c>
      <c r="AP84" s="523">
        <f t="shared" si="22"/>
        <v>0</v>
      </c>
      <c r="AQ84" s="523">
        <f t="shared" si="19"/>
        <v>0</v>
      </c>
      <c r="AR84" s="523">
        <f t="shared" si="20"/>
        <v>0</v>
      </c>
      <c r="AS84" s="512">
        <v>0.18</v>
      </c>
      <c r="AT84" s="523">
        <f t="shared" si="18"/>
        <v>118.35179999999997</v>
      </c>
      <c r="AU84" s="517"/>
      <c r="AV84" s="517"/>
      <c r="AW84" s="517"/>
      <c r="AX84" s="517"/>
      <c r="AY84" s="517"/>
      <c r="AZ84" s="517"/>
      <c r="BA84" s="532"/>
      <c r="BB84" s="533"/>
      <c r="BC84" s="533"/>
      <c r="BD84" s="502"/>
      <c r="BK84" s="529"/>
      <c r="BL84" s="529"/>
      <c r="BM84" s="529"/>
      <c r="BN84" s="529"/>
      <c r="BO84" s="526"/>
      <c r="BP84" s="526"/>
      <c r="BR84" s="527"/>
      <c r="BS84" s="527"/>
      <c r="BT84" s="528"/>
      <c r="BW84" s="516" t="e">
        <f>G84-#REF!</f>
        <v>#REF!</v>
      </c>
    </row>
    <row r="85" spans="1:75" ht="37.5" customHeight="1">
      <c r="A85" s="763"/>
      <c r="B85" s="742"/>
      <c r="C85" s="742"/>
      <c r="D85" s="489">
        <v>2014</v>
      </c>
      <c r="E85" s="578">
        <f>SUM(G85:Q85)</f>
        <v>3214.96</v>
      </c>
      <c r="F85" s="578"/>
      <c r="G85" s="576">
        <f>1126-520</f>
        <v>606</v>
      </c>
      <c r="H85" s="622"/>
      <c r="I85" s="577">
        <f>420.94+705.06-575.85</f>
        <v>550.15</v>
      </c>
      <c r="J85" s="577"/>
      <c r="K85" s="576">
        <v>0</v>
      </c>
      <c r="L85" s="576"/>
      <c r="M85" s="576">
        <f>1448.85+609.96</f>
        <v>2058.81</v>
      </c>
      <c r="N85" s="622"/>
      <c r="O85" s="576">
        <v>0</v>
      </c>
      <c r="P85" s="576"/>
      <c r="Q85" s="576">
        <v>0</v>
      </c>
      <c r="R85" s="576"/>
      <c r="S85" s="782"/>
      <c r="T85" s="788"/>
      <c r="U85" s="493">
        <f>AE85</f>
        <v>360</v>
      </c>
      <c r="V85" s="493"/>
      <c r="W85" s="577">
        <f>SUM(Y85:AC85)</f>
        <v>353.2927872142785</v>
      </c>
      <c r="X85" s="577"/>
      <c r="Y85" s="577">
        <f>AT85</f>
        <v>347.21567999999996</v>
      </c>
      <c r="Z85" s="577"/>
      <c r="AA85" s="577">
        <f>AR85</f>
        <v>3.2943998208604053</v>
      </c>
      <c r="AB85" s="577"/>
      <c r="AC85" s="577">
        <f>AQ85</f>
        <v>2.7827073934181503</v>
      </c>
      <c r="AD85" s="622"/>
      <c r="AE85" s="512">
        <f t="shared" si="35"/>
        <v>360</v>
      </c>
      <c r="AF85" s="520"/>
      <c r="AG85" s="520">
        <v>360</v>
      </c>
      <c r="AH85" s="512">
        <v>11035</v>
      </c>
      <c r="AJ85" s="513">
        <v>106.23302983559877</v>
      </c>
      <c r="AK85" s="514">
        <v>105.1948604625895</v>
      </c>
      <c r="AL85" s="513">
        <v>104.86113485125321</v>
      </c>
      <c r="AM85" s="512">
        <v>12</v>
      </c>
      <c r="AN85" s="512">
        <v>1000000</v>
      </c>
      <c r="AO85" s="512">
        <v>0.12</v>
      </c>
      <c r="AP85" s="523">
        <f t="shared" si="22"/>
        <v>6.077107214278556</v>
      </c>
      <c r="AQ85" s="523">
        <f t="shared" si="19"/>
        <v>2.7827073934181503</v>
      </c>
      <c r="AR85" s="523">
        <f t="shared" si="20"/>
        <v>3.2943998208604053</v>
      </c>
      <c r="AS85" s="512">
        <v>0.18</v>
      </c>
      <c r="AT85" s="523">
        <f t="shared" si="18"/>
        <v>347.21567999999996</v>
      </c>
      <c r="AU85" s="517"/>
      <c r="AV85" s="517"/>
      <c r="AW85" s="517"/>
      <c r="AX85" s="517"/>
      <c r="AY85" s="517"/>
      <c r="AZ85" s="517"/>
      <c r="BA85" s="532"/>
      <c r="BB85" s="533"/>
      <c r="BC85" s="533"/>
      <c r="BD85" s="502"/>
      <c r="BK85" s="529"/>
      <c r="BL85" s="529"/>
      <c r="BM85" s="529"/>
      <c r="BN85" s="529"/>
      <c r="BO85" s="526"/>
      <c r="BP85" s="526"/>
      <c r="BR85" s="527"/>
      <c r="BS85" s="527"/>
      <c r="BT85" s="528"/>
      <c r="BW85" s="516" t="e">
        <f>G85-#REF!</f>
        <v>#REF!</v>
      </c>
    </row>
    <row r="86" spans="1:75" ht="37.5" customHeight="1">
      <c r="A86" s="763"/>
      <c r="B86" s="742"/>
      <c r="C86" s="742"/>
      <c r="D86" s="633">
        <v>2015</v>
      </c>
      <c r="E86" s="650">
        <f>SUM(G86:Q86)</f>
        <v>1517.0565</v>
      </c>
      <c r="F86" s="650">
        <v>14.0565</v>
      </c>
      <c r="G86" s="656">
        <v>0</v>
      </c>
      <c r="H86" s="661"/>
      <c r="I86" s="646">
        <v>0</v>
      </c>
      <c r="J86" s="646"/>
      <c r="K86" s="656">
        <v>0</v>
      </c>
      <c r="L86" s="656"/>
      <c r="M86" s="656">
        <v>1503</v>
      </c>
      <c r="N86" s="661">
        <v>14.0565</v>
      </c>
      <c r="O86" s="656">
        <v>0</v>
      </c>
      <c r="P86" s="656"/>
      <c r="Q86" s="656">
        <v>0</v>
      </c>
      <c r="R86" s="656"/>
      <c r="S86" s="782"/>
      <c r="T86" s="788"/>
      <c r="U86" s="637">
        <f>AE86</f>
        <v>500</v>
      </c>
      <c r="V86" s="637">
        <v>12</v>
      </c>
      <c r="W86" s="646">
        <f>SUM(Y86:AC86)</f>
        <v>172.28252868649798</v>
      </c>
      <c r="X86" s="646"/>
      <c r="Y86" s="646">
        <f>AT86</f>
        <v>163.84210199999998</v>
      </c>
      <c r="Z86" s="646"/>
      <c r="AA86" s="646">
        <f>AR86</f>
        <v>4.575555306750562</v>
      </c>
      <c r="AB86" s="646"/>
      <c r="AC86" s="646">
        <f>AQ86</f>
        <v>3.864871379747431</v>
      </c>
      <c r="AD86" s="661"/>
      <c r="AE86" s="512">
        <f t="shared" si="35"/>
        <v>500</v>
      </c>
      <c r="AF86" s="520"/>
      <c r="AG86" s="520">
        <v>500</v>
      </c>
      <c r="AH86" s="512">
        <v>11035</v>
      </c>
      <c r="AJ86" s="513">
        <v>106.23302983559877</v>
      </c>
      <c r="AK86" s="514">
        <v>105.1948604625895</v>
      </c>
      <c r="AL86" s="513">
        <v>104.86113485125321</v>
      </c>
      <c r="AM86" s="512">
        <v>12</v>
      </c>
      <c r="AN86" s="512">
        <v>1000000</v>
      </c>
      <c r="AO86" s="512">
        <v>0.12</v>
      </c>
      <c r="AP86" s="523">
        <f t="shared" si="22"/>
        <v>8.440426686497993</v>
      </c>
      <c r="AQ86" s="523">
        <f t="shared" si="19"/>
        <v>3.864871379747431</v>
      </c>
      <c r="AR86" s="523">
        <f t="shared" si="20"/>
        <v>4.575555306750562</v>
      </c>
      <c r="AS86" s="512">
        <v>0.18</v>
      </c>
      <c r="AT86" s="523">
        <f aca="true" t="shared" si="44" ref="AT86:AT149">E86*0.6*AS86</f>
        <v>163.84210199999998</v>
      </c>
      <c r="AU86" s="517"/>
      <c r="AV86" s="517"/>
      <c r="AW86" s="517"/>
      <c r="AX86" s="517"/>
      <c r="AY86" s="517"/>
      <c r="AZ86" s="517"/>
      <c r="BA86" s="532"/>
      <c r="BB86" s="533"/>
      <c r="BC86" s="533"/>
      <c r="BD86" s="502"/>
      <c r="BK86" s="529"/>
      <c r="BL86" s="529"/>
      <c r="BM86" s="529"/>
      <c r="BN86" s="529"/>
      <c r="BO86" s="526"/>
      <c r="BP86" s="526"/>
      <c r="BR86" s="527"/>
      <c r="BS86" s="527"/>
      <c r="BT86" s="528"/>
      <c r="BW86" s="516"/>
    </row>
    <row r="87" spans="1:73" ht="17.25" customHeight="1">
      <c r="A87" s="805" t="s">
        <v>13</v>
      </c>
      <c r="B87" s="805"/>
      <c r="C87" s="805"/>
      <c r="D87" s="805"/>
      <c r="E87" s="805"/>
      <c r="F87" s="805"/>
      <c r="G87" s="805"/>
      <c r="H87" s="805"/>
      <c r="I87" s="805"/>
      <c r="J87" s="805"/>
      <c r="K87" s="805"/>
      <c r="L87" s="805"/>
      <c r="M87" s="805"/>
      <c r="N87" s="805"/>
      <c r="O87" s="805"/>
      <c r="P87" s="805"/>
      <c r="Q87" s="805"/>
      <c r="R87" s="805"/>
      <c r="S87" s="805"/>
      <c r="T87" s="805"/>
      <c r="U87" s="805"/>
      <c r="V87" s="805"/>
      <c r="W87" s="805"/>
      <c r="X87" s="805"/>
      <c r="Y87" s="805"/>
      <c r="Z87" s="805"/>
      <c r="AA87" s="805"/>
      <c r="AB87" s="805"/>
      <c r="AC87" s="805"/>
      <c r="AD87" s="622"/>
      <c r="AF87" s="525"/>
      <c r="AG87" s="525"/>
      <c r="AH87" s="512">
        <v>11035</v>
      </c>
      <c r="AJ87" s="513">
        <v>106.23302983559877</v>
      </c>
      <c r="AK87" s="514">
        <v>105.1948604625895</v>
      </c>
      <c r="AL87" s="513">
        <v>104.86113485125321</v>
      </c>
      <c r="AM87" s="512">
        <v>12</v>
      </c>
      <c r="AN87" s="512">
        <v>1000000</v>
      </c>
      <c r="AO87" s="512">
        <v>0.12</v>
      </c>
      <c r="AP87" s="523">
        <f t="shared" si="22"/>
        <v>0</v>
      </c>
      <c r="AQ87" s="523">
        <f aca="true" t="shared" si="45" ref="AQ87:AQ150">AP87*0.4579</f>
        <v>0</v>
      </c>
      <c r="AR87" s="523">
        <f aca="true" t="shared" si="46" ref="AR87:AR150">AP87-AQ87</f>
        <v>0</v>
      </c>
      <c r="AS87" s="512">
        <v>0.18</v>
      </c>
      <c r="AT87" s="523">
        <f t="shared" si="44"/>
        <v>0</v>
      </c>
      <c r="BL87" s="529"/>
      <c r="BM87" s="529"/>
      <c r="BN87" s="529"/>
      <c r="BO87" s="529"/>
      <c r="BP87" s="526"/>
      <c r="BQ87" s="526"/>
      <c r="BS87" s="527"/>
      <c r="BT87" s="527"/>
      <c r="BU87" s="528"/>
    </row>
    <row r="88" spans="1:46" ht="27" customHeight="1">
      <c r="A88" s="767" t="s">
        <v>683</v>
      </c>
      <c r="B88" s="742" t="s">
        <v>425</v>
      </c>
      <c r="C88" s="742" t="s">
        <v>426</v>
      </c>
      <c r="D88" s="489" t="s">
        <v>273</v>
      </c>
      <c r="E88" s="578">
        <f aca="true" t="shared" si="47" ref="E88:E107">SUM(G88:Q88)</f>
        <v>130.5</v>
      </c>
      <c r="F88" s="578"/>
      <c r="G88" s="569">
        <f aca="true" t="shared" si="48" ref="G88:Q88">SUM(G89:G91)</f>
        <v>0</v>
      </c>
      <c r="H88" s="586"/>
      <c r="I88" s="578">
        <f t="shared" si="48"/>
        <v>0</v>
      </c>
      <c r="J88" s="578"/>
      <c r="K88" s="569">
        <f t="shared" si="48"/>
        <v>0</v>
      </c>
      <c r="L88" s="569"/>
      <c r="M88" s="569">
        <f t="shared" si="48"/>
        <v>130.5</v>
      </c>
      <c r="N88" s="586"/>
      <c r="O88" s="569">
        <f t="shared" si="48"/>
        <v>0</v>
      </c>
      <c r="P88" s="569"/>
      <c r="Q88" s="569">
        <f t="shared" si="48"/>
        <v>0</v>
      </c>
      <c r="R88" s="569"/>
      <c r="S88" s="742" t="s">
        <v>347</v>
      </c>
      <c r="T88" s="778" t="s">
        <v>503</v>
      </c>
      <c r="U88" s="493">
        <f>SUM(U89:U91)</f>
        <v>70</v>
      </c>
      <c r="V88" s="493"/>
      <c r="W88" s="577">
        <f>SUM(W89:W91)</f>
        <v>15.2821143695609</v>
      </c>
      <c r="X88" s="577"/>
      <c r="Y88" s="577">
        <f>SUM(Y89:Y91)</f>
        <v>14.094</v>
      </c>
      <c r="Z88" s="577"/>
      <c r="AA88" s="577">
        <f>SUM(AA89:AA91)</f>
        <v>0.6332347997389645</v>
      </c>
      <c r="AB88" s="577"/>
      <c r="AC88" s="577">
        <f>SUM(AC89:AC91)</f>
        <v>0.5348795698219365</v>
      </c>
      <c r="AD88" s="700"/>
      <c r="AF88" s="520"/>
      <c r="AH88" s="512">
        <v>11035</v>
      </c>
      <c r="AJ88" s="513">
        <v>106.23302983559877</v>
      </c>
      <c r="AK88" s="514">
        <v>105.1948604625895</v>
      </c>
      <c r="AL88" s="513">
        <v>104.86113485125321</v>
      </c>
      <c r="AM88" s="512">
        <v>12</v>
      </c>
      <c r="AN88" s="512">
        <v>1000000</v>
      </c>
      <c r="AO88" s="512">
        <v>0.12</v>
      </c>
      <c r="AP88" s="523">
        <f aca="true" t="shared" si="49" ref="AP88:AP151">AE88*AH88*AJ88%*AM88/AN88*AO88</f>
        <v>0</v>
      </c>
      <c r="AQ88" s="523">
        <f t="shared" si="45"/>
        <v>0</v>
      </c>
      <c r="AR88" s="523">
        <f t="shared" si="46"/>
        <v>0</v>
      </c>
      <c r="AS88" s="512">
        <v>0.18</v>
      </c>
      <c r="AT88" s="523">
        <f t="shared" si="44"/>
        <v>14.094</v>
      </c>
    </row>
    <row r="89" spans="1:46" ht="27" customHeight="1">
      <c r="A89" s="767"/>
      <c r="B89" s="742"/>
      <c r="C89" s="742"/>
      <c r="D89" s="489">
        <v>2013</v>
      </c>
      <c r="E89" s="578">
        <f t="shared" si="47"/>
        <v>50</v>
      </c>
      <c r="F89" s="578"/>
      <c r="G89" s="569">
        <v>0</v>
      </c>
      <c r="H89" s="586"/>
      <c r="I89" s="578">
        <v>0</v>
      </c>
      <c r="J89" s="578"/>
      <c r="K89" s="569">
        <v>0</v>
      </c>
      <c r="L89" s="569"/>
      <c r="M89" s="492">
        <v>50</v>
      </c>
      <c r="N89" s="622"/>
      <c r="O89" s="569">
        <v>0</v>
      </c>
      <c r="P89" s="569"/>
      <c r="Q89" s="569">
        <v>0</v>
      </c>
      <c r="R89" s="569"/>
      <c r="S89" s="742"/>
      <c r="T89" s="778"/>
      <c r="U89" s="493">
        <f>AE89</f>
        <v>3</v>
      </c>
      <c r="V89" s="493">
        <v>3</v>
      </c>
      <c r="W89" s="577">
        <f>Y89+AA89+AC89</f>
        <v>5.450642560118987</v>
      </c>
      <c r="X89" s="577">
        <v>0.6</v>
      </c>
      <c r="Y89" s="577">
        <f>AT89</f>
        <v>5.3999999999999995</v>
      </c>
      <c r="Z89" s="577"/>
      <c r="AA89" s="577">
        <f>AR89</f>
        <v>0.027453331840503373</v>
      </c>
      <c r="AB89" s="577">
        <v>0.02</v>
      </c>
      <c r="AC89" s="577">
        <f>AQ89</f>
        <v>0.023189228278484582</v>
      </c>
      <c r="AD89" s="586">
        <v>0</v>
      </c>
      <c r="AE89" s="512">
        <f t="shared" si="35"/>
        <v>3</v>
      </c>
      <c r="AF89" s="520">
        <v>3</v>
      </c>
      <c r="AH89" s="512">
        <v>11035</v>
      </c>
      <c r="AJ89" s="513">
        <v>106.23302983559877</v>
      </c>
      <c r="AK89" s="514">
        <v>105.1948604625895</v>
      </c>
      <c r="AL89" s="513">
        <v>104.86113485125321</v>
      </c>
      <c r="AM89" s="512">
        <v>12</v>
      </c>
      <c r="AN89" s="512">
        <v>1000000</v>
      </c>
      <c r="AO89" s="512">
        <v>0.12</v>
      </c>
      <c r="AP89" s="523">
        <f t="shared" si="49"/>
        <v>0.050642560118987955</v>
      </c>
      <c r="AQ89" s="523">
        <f t="shared" si="45"/>
        <v>0.023189228278484582</v>
      </c>
      <c r="AR89" s="523">
        <f t="shared" si="46"/>
        <v>0.027453331840503373</v>
      </c>
      <c r="AS89" s="512">
        <v>0.18</v>
      </c>
      <c r="AT89" s="523">
        <f t="shared" si="44"/>
        <v>5.3999999999999995</v>
      </c>
    </row>
    <row r="90" spans="1:46" ht="27" customHeight="1">
      <c r="A90" s="767"/>
      <c r="B90" s="742"/>
      <c r="C90" s="742"/>
      <c r="D90" s="489">
        <v>2014</v>
      </c>
      <c r="E90" s="578">
        <f t="shared" si="47"/>
        <v>40.5</v>
      </c>
      <c r="F90" s="578"/>
      <c r="G90" s="569">
        <v>0</v>
      </c>
      <c r="H90" s="586"/>
      <c r="I90" s="578">
        <v>0</v>
      </c>
      <c r="J90" s="578"/>
      <c r="K90" s="569">
        <v>0</v>
      </c>
      <c r="L90" s="569"/>
      <c r="M90" s="492">
        <v>40.5</v>
      </c>
      <c r="N90" s="622"/>
      <c r="O90" s="569">
        <v>0</v>
      </c>
      <c r="P90" s="569"/>
      <c r="Q90" s="569">
        <v>0</v>
      </c>
      <c r="R90" s="569"/>
      <c r="S90" s="742"/>
      <c r="T90" s="778"/>
      <c r="U90" s="493">
        <f>AE90</f>
        <v>20</v>
      </c>
      <c r="V90" s="493"/>
      <c r="W90" s="577">
        <f>SUM(Y90:AC90)</f>
        <v>4.728317682138946</v>
      </c>
      <c r="X90" s="577">
        <v>0.04</v>
      </c>
      <c r="Y90" s="577">
        <f>AT90</f>
        <v>4.374</v>
      </c>
      <c r="Z90" s="577"/>
      <c r="AA90" s="577">
        <f>AR90</f>
        <v>0.1812336154875229</v>
      </c>
      <c r="AB90" s="577">
        <v>0.02</v>
      </c>
      <c r="AC90" s="577">
        <f>AQ90</f>
        <v>0.15308406665142357</v>
      </c>
      <c r="AD90" s="704">
        <v>0.02</v>
      </c>
      <c r="AE90" s="512">
        <f t="shared" si="35"/>
        <v>20</v>
      </c>
      <c r="AF90" s="520">
        <v>20</v>
      </c>
      <c r="AH90" s="512">
        <v>11035</v>
      </c>
      <c r="AJ90" s="513">
        <v>106.23302983559877</v>
      </c>
      <c r="AK90" s="514">
        <v>105.1948604625895</v>
      </c>
      <c r="AL90" s="513">
        <v>104.86113485125321</v>
      </c>
      <c r="AM90" s="512">
        <v>12</v>
      </c>
      <c r="AN90" s="512">
        <v>1000000</v>
      </c>
      <c r="AO90" s="512">
        <v>0.12</v>
      </c>
      <c r="AP90" s="523">
        <f>AE90*AH90*AK90%*AM90/AN90*AO90</f>
        <v>0.33431768213894647</v>
      </c>
      <c r="AQ90" s="523">
        <f t="shared" si="45"/>
        <v>0.15308406665142357</v>
      </c>
      <c r="AR90" s="523">
        <f t="shared" si="46"/>
        <v>0.1812336154875229</v>
      </c>
      <c r="AS90" s="512">
        <v>0.18</v>
      </c>
      <c r="AT90" s="523">
        <f t="shared" si="44"/>
        <v>4.374</v>
      </c>
    </row>
    <row r="91" spans="1:46" s="644" customFormat="1" ht="27" customHeight="1">
      <c r="A91" s="767"/>
      <c r="B91" s="742"/>
      <c r="C91" s="742"/>
      <c r="D91" s="633">
        <v>2015</v>
      </c>
      <c r="E91" s="650">
        <f t="shared" si="47"/>
        <v>40</v>
      </c>
      <c r="F91" s="650">
        <v>0</v>
      </c>
      <c r="G91" s="634">
        <v>0</v>
      </c>
      <c r="H91" s="667"/>
      <c r="I91" s="650">
        <v>0</v>
      </c>
      <c r="J91" s="650"/>
      <c r="K91" s="634">
        <v>0</v>
      </c>
      <c r="L91" s="634"/>
      <c r="M91" s="635">
        <v>40</v>
      </c>
      <c r="N91" s="661">
        <v>0</v>
      </c>
      <c r="O91" s="634">
        <v>0</v>
      </c>
      <c r="P91" s="634"/>
      <c r="Q91" s="634">
        <v>0</v>
      </c>
      <c r="R91" s="634"/>
      <c r="S91" s="742"/>
      <c r="T91" s="778"/>
      <c r="U91" s="637">
        <f>AE91</f>
        <v>47</v>
      </c>
      <c r="V91" s="637"/>
      <c r="W91" s="646">
        <f>SUM(Y91:AC91)</f>
        <v>5.103154127302966</v>
      </c>
      <c r="X91" s="646"/>
      <c r="Y91" s="646">
        <f>AT91</f>
        <v>4.32</v>
      </c>
      <c r="Z91" s="646"/>
      <c r="AA91" s="646">
        <f>AR91</f>
        <v>0.4245478524109382</v>
      </c>
      <c r="AB91" s="646"/>
      <c r="AC91" s="646">
        <f>AQ91</f>
        <v>0.35860627489202834</v>
      </c>
      <c r="AD91" s="701"/>
      <c r="AE91" s="638">
        <f t="shared" si="35"/>
        <v>47</v>
      </c>
      <c r="AF91" s="639">
        <v>47</v>
      </c>
      <c r="AG91" s="638"/>
      <c r="AH91" s="638">
        <v>11035</v>
      </c>
      <c r="AI91" s="638"/>
      <c r="AJ91" s="641">
        <v>106.23302983559877</v>
      </c>
      <c r="AK91" s="642">
        <v>105.1948604625895</v>
      </c>
      <c r="AL91" s="641">
        <v>104.86113485125321</v>
      </c>
      <c r="AM91" s="638">
        <v>12</v>
      </c>
      <c r="AN91" s="638">
        <v>1000000</v>
      </c>
      <c r="AO91" s="638">
        <v>0.12</v>
      </c>
      <c r="AP91" s="643">
        <f>AE91*AH91*AL91%*AM91/AN91*AO91</f>
        <v>0.7831541273029665</v>
      </c>
      <c r="AQ91" s="643">
        <f t="shared" si="45"/>
        <v>0.35860627489202834</v>
      </c>
      <c r="AR91" s="643">
        <f t="shared" si="46"/>
        <v>0.4245478524109382</v>
      </c>
      <c r="AS91" s="638">
        <v>0.18</v>
      </c>
      <c r="AT91" s="643">
        <f t="shared" si="44"/>
        <v>4.32</v>
      </c>
    </row>
    <row r="92" spans="1:46" ht="27" customHeight="1">
      <c r="A92" s="827" t="s">
        <v>684</v>
      </c>
      <c r="B92" s="742" t="s">
        <v>594</v>
      </c>
      <c r="C92" s="742" t="s">
        <v>424</v>
      </c>
      <c r="D92" s="489" t="s">
        <v>273</v>
      </c>
      <c r="E92" s="578">
        <f t="shared" si="47"/>
        <v>725.85</v>
      </c>
      <c r="F92" s="578"/>
      <c r="G92" s="569">
        <f aca="true" t="shared" si="50" ref="G92:Q92">SUM(G93:G95)</f>
        <v>0</v>
      </c>
      <c r="H92" s="586"/>
      <c r="I92" s="578">
        <f t="shared" si="50"/>
        <v>0</v>
      </c>
      <c r="J92" s="578"/>
      <c r="K92" s="569">
        <f t="shared" si="50"/>
        <v>0</v>
      </c>
      <c r="L92" s="569"/>
      <c r="M92" s="569">
        <f t="shared" si="50"/>
        <v>725.85</v>
      </c>
      <c r="N92" s="586"/>
      <c r="O92" s="569">
        <f t="shared" si="50"/>
        <v>0</v>
      </c>
      <c r="P92" s="569"/>
      <c r="Q92" s="569">
        <f t="shared" si="50"/>
        <v>0</v>
      </c>
      <c r="R92" s="569"/>
      <c r="S92" s="742" t="s">
        <v>8</v>
      </c>
      <c r="T92" s="778" t="s">
        <v>18</v>
      </c>
      <c r="U92" s="493">
        <f>SUM(U93:U95)</f>
        <v>160</v>
      </c>
      <c r="V92" s="493"/>
      <c r="W92" s="577">
        <f>SUM(W93:W95)</f>
        <v>81.05785660358455</v>
      </c>
      <c r="X92" s="577"/>
      <c r="Y92" s="577">
        <f>SUM(Y93:Y95)</f>
        <v>78.39179999999999</v>
      </c>
      <c r="Z92" s="577"/>
      <c r="AA92" s="577">
        <f>SUM(AA93:AA95)</f>
        <v>1.4452692848031936</v>
      </c>
      <c r="AB92" s="577"/>
      <c r="AC92" s="577">
        <f>SUM(AC93:AC95)</f>
        <v>1.220787318781373</v>
      </c>
      <c r="AD92" s="704"/>
      <c r="AF92" s="520"/>
      <c r="AH92" s="512">
        <v>11035</v>
      </c>
      <c r="AJ92" s="513">
        <v>106.23302983559877</v>
      </c>
      <c r="AK92" s="514">
        <v>105.1948604625895</v>
      </c>
      <c r="AL92" s="513">
        <v>104.86113485125321</v>
      </c>
      <c r="AM92" s="512">
        <v>12</v>
      </c>
      <c r="AN92" s="512">
        <v>1000000</v>
      </c>
      <c r="AO92" s="512">
        <v>0.12</v>
      </c>
      <c r="AP92" s="523">
        <f t="shared" si="49"/>
        <v>0</v>
      </c>
      <c r="AQ92" s="523">
        <f t="shared" si="45"/>
        <v>0</v>
      </c>
      <c r="AR92" s="523">
        <f t="shared" si="46"/>
        <v>0</v>
      </c>
      <c r="AS92" s="512">
        <v>0.18</v>
      </c>
      <c r="AT92" s="523">
        <f t="shared" si="44"/>
        <v>78.39179999999999</v>
      </c>
    </row>
    <row r="93" spans="1:46" ht="27" customHeight="1">
      <c r="A93" s="827"/>
      <c r="B93" s="742"/>
      <c r="C93" s="742"/>
      <c r="D93" s="489">
        <v>2013</v>
      </c>
      <c r="E93" s="578">
        <f t="shared" si="47"/>
        <v>0</v>
      </c>
      <c r="F93" s="578"/>
      <c r="G93" s="569">
        <v>0</v>
      </c>
      <c r="H93" s="586"/>
      <c r="I93" s="578">
        <v>0</v>
      </c>
      <c r="J93" s="578"/>
      <c r="K93" s="569">
        <v>0</v>
      </c>
      <c r="L93" s="569"/>
      <c r="M93" s="569">
        <v>0</v>
      </c>
      <c r="N93" s="586"/>
      <c r="O93" s="569">
        <v>0</v>
      </c>
      <c r="P93" s="569"/>
      <c r="Q93" s="569">
        <v>0</v>
      </c>
      <c r="R93" s="569"/>
      <c r="S93" s="742"/>
      <c r="T93" s="778"/>
      <c r="U93" s="493">
        <f>AE93</f>
        <v>0</v>
      </c>
      <c r="V93" s="493"/>
      <c r="W93" s="577">
        <f>SUM(Y93:AC93)</f>
        <v>0</v>
      </c>
      <c r="X93" s="577"/>
      <c r="Y93" s="577">
        <f>AT93</f>
        <v>0</v>
      </c>
      <c r="Z93" s="577"/>
      <c r="AA93" s="577">
        <f>AR93</f>
        <v>0</v>
      </c>
      <c r="AB93" s="577"/>
      <c r="AC93" s="577">
        <f>AQ93</f>
        <v>0</v>
      </c>
      <c r="AD93" s="704"/>
      <c r="AE93" s="512">
        <f t="shared" si="35"/>
        <v>0</v>
      </c>
      <c r="AF93" s="520">
        <v>0</v>
      </c>
      <c r="AH93" s="512">
        <v>11035</v>
      </c>
      <c r="AJ93" s="513">
        <v>106.23302983559877</v>
      </c>
      <c r="AK93" s="514">
        <v>105.1948604625895</v>
      </c>
      <c r="AL93" s="513">
        <v>104.86113485125321</v>
      </c>
      <c r="AM93" s="512">
        <v>12</v>
      </c>
      <c r="AN93" s="512">
        <v>1000000</v>
      </c>
      <c r="AO93" s="512">
        <v>0.12</v>
      </c>
      <c r="AP93" s="523">
        <f t="shared" si="49"/>
        <v>0</v>
      </c>
      <c r="AQ93" s="523">
        <f t="shared" si="45"/>
        <v>0</v>
      </c>
      <c r="AR93" s="523">
        <f t="shared" si="46"/>
        <v>0</v>
      </c>
      <c r="AS93" s="512">
        <v>0.18</v>
      </c>
      <c r="AT93" s="523">
        <f t="shared" si="44"/>
        <v>0</v>
      </c>
    </row>
    <row r="94" spans="1:46" ht="27" customHeight="1">
      <c r="A94" s="827"/>
      <c r="B94" s="742"/>
      <c r="C94" s="742"/>
      <c r="D94" s="489">
        <v>2014</v>
      </c>
      <c r="E94" s="578">
        <f t="shared" si="47"/>
        <v>525.85</v>
      </c>
      <c r="F94" s="578"/>
      <c r="G94" s="569">
        <v>0</v>
      </c>
      <c r="H94" s="586"/>
      <c r="I94" s="578">
        <v>0</v>
      </c>
      <c r="J94" s="578"/>
      <c r="K94" s="569">
        <v>0</v>
      </c>
      <c r="L94" s="569"/>
      <c r="M94" s="569">
        <v>525.85</v>
      </c>
      <c r="N94" s="586"/>
      <c r="O94" s="569">
        <v>0</v>
      </c>
      <c r="P94" s="569"/>
      <c r="Q94" s="569">
        <v>0</v>
      </c>
      <c r="R94" s="569"/>
      <c r="S94" s="742"/>
      <c r="T94" s="778"/>
      <c r="U94" s="493">
        <f>AE94</f>
        <v>0</v>
      </c>
      <c r="V94" s="493"/>
      <c r="W94" s="577">
        <f>SUM(Y94:AC94)</f>
        <v>56.791799999999995</v>
      </c>
      <c r="X94" s="577"/>
      <c r="Y94" s="577">
        <f>AT94</f>
        <v>56.791799999999995</v>
      </c>
      <c r="Z94" s="577"/>
      <c r="AA94" s="577">
        <f>AR94</f>
        <v>0</v>
      </c>
      <c r="AB94" s="577"/>
      <c r="AC94" s="577">
        <f>AQ94</f>
        <v>0</v>
      </c>
      <c r="AD94" s="704"/>
      <c r="AE94" s="512">
        <f t="shared" si="35"/>
        <v>0</v>
      </c>
      <c r="AF94" s="520">
        <v>0</v>
      </c>
      <c r="AH94" s="512">
        <v>11035</v>
      </c>
      <c r="AJ94" s="513">
        <v>106.23302983559877</v>
      </c>
      <c r="AK94" s="514">
        <v>105.1948604625895</v>
      </c>
      <c r="AL94" s="513">
        <v>104.86113485125321</v>
      </c>
      <c r="AM94" s="512">
        <v>12</v>
      </c>
      <c r="AN94" s="512">
        <v>1000000</v>
      </c>
      <c r="AO94" s="512">
        <v>0.12</v>
      </c>
      <c r="AP94" s="523">
        <f t="shared" si="49"/>
        <v>0</v>
      </c>
      <c r="AQ94" s="523">
        <f t="shared" si="45"/>
        <v>0</v>
      </c>
      <c r="AR94" s="523">
        <f t="shared" si="46"/>
        <v>0</v>
      </c>
      <c r="AS94" s="512">
        <v>0.18</v>
      </c>
      <c r="AT94" s="523">
        <f t="shared" si="44"/>
        <v>56.791799999999995</v>
      </c>
    </row>
    <row r="95" spans="1:46" s="644" customFormat="1" ht="27" customHeight="1">
      <c r="A95" s="827"/>
      <c r="B95" s="742"/>
      <c r="C95" s="742"/>
      <c r="D95" s="633">
        <v>2015</v>
      </c>
      <c r="E95" s="650">
        <f t="shared" si="47"/>
        <v>200</v>
      </c>
      <c r="F95" s="650">
        <v>0</v>
      </c>
      <c r="G95" s="634">
        <v>0</v>
      </c>
      <c r="H95" s="667"/>
      <c r="I95" s="650">
        <v>0</v>
      </c>
      <c r="J95" s="650"/>
      <c r="K95" s="634">
        <v>0</v>
      </c>
      <c r="L95" s="634"/>
      <c r="M95" s="634">
        <v>200</v>
      </c>
      <c r="N95" s="667">
        <v>0</v>
      </c>
      <c r="O95" s="634">
        <v>0</v>
      </c>
      <c r="P95" s="634"/>
      <c r="Q95" s="634">
        <v>0</v>
      </c>
      <c r="R95" s="634"/>
      <c r="S95" s="742"/>
      <c r="T95" s="778"/>
      <c r="U95" s="637">
        <f>AE95</f>
        <v>160</v>
      </c>
      <c r="V95" s="637"/>
      <c r="W95" s="646">
        <f>SUM(Y95:AC95)</f>
        <v>24.266056603584563</v>
      </c>
      <c r="X95" s="646"/>
      <c r="Y95" s="646">
        <f>AT95</f>
        <v>21.599999999999998</v>
      </c>
      <c r="Z95" s="646"/>
      <c r="AA95" s="646">
        <f>AR95</f>
        <v>1.4452692848031936</v>
      </c>
      <c r="AB95" s="646"/>
      <c r="AC95" s="646">
        <f>AQ95</f>
        <v>1.220787318781373</v>
      </c>
      <c r="AD95" s="701"/>
      <c r="AE95" s="638">
        <f t="shared" si="35"/>
        <v>160</v>
      </c>
      <c r="AF95" s="639">
        <v>160</v>
      </c>
      <c r="AG95" s="638"/>
      <c r="AH95" s="638">
        <v>11035</v>
      </c>
      <c r="AI95" s="638"/>
      <c r="AJ95" s="641">
        <v>106.23302983559877</v>
      </c>
      <c r="AK95" s="642">
        <v>105.1948604625895</v>
      </c>
      <c r="AL95" s="641">
        <v>104.86113485125321</v>
      </c>
      <c r="AM95" s="638">
        <v>12</v>
      </c>
      <c r="AN95" s="638">
        <v>1000000</v>
      </c>
      <c r="AO95" s="638">
        <v>0.12</v>
      </c>
      <c r="AP95" s="643">
        <f>AE95*AH95*AL95%*AM95/AN95*AO95</f>
        <v>2.6660566035845665</v>
      </c>
      <c r="AQ95" s="643">
        <f t="shared" si="45"/>
        <v>1.220787318781373</v>
      </c>
      <c r="AR95" s="643">
        <f t="shared" si="46"/>
        <v>1.4452692848031936</v>
      </c>
      <c r="AS95" s="638">
        <v>0.18</v>
      </c>
      <c r="AT95" s="643">
        <f t="shared" si="44"/>
        <v>21.599999999999998</v>
      </c>
    </row>
    <row r="96" spans="1:46" ht="27" customHeight="1">
      <c r="A96" s="827" t="s">
        <v>685</v>
      </c>
      <c r="B96" s="742" t="s">
        <v>423</v>
      </c>
      <c r="C96" s="742" t="s">
        <v>351</v>
      </c>
      <c r="D96" s="489" t="s">
        <v>273</v>
      </c>
      <c r="E96" s="578">
        <f t="shared" si="47"/>
        <v>506.4</v>
      </c>
      <c r="F96" s="578"/>
      <c r="G96" s="569">
        <f aca="true" t="shared" si="51" ref="G96:Q96">SUM(G97:G99)</f>
        <v>0</v>
      </c>
      <c r="H96" s="586"/>
      <c r="I96" s="578">
        <f t="shared" si="51"/>
        <v>0</v>
      </c>
      <c r="J96" s="578"/>
      <c r="K96" s="569">
        <f t="shared" si="51"/>
        <v>0</v>
      </c>
      <c r="L96" s="569"/>
      <c r="M96" s="569">
        <f t="shared" si="51"/>
        <v>165.2</v>
      </c>
      <c r="N96" s="586"/>
      <c r="O96" s="569">
        <f t="shared" si="51"/>
        <v>341.2</v>
      </c>
      <c r="P96" s="569"/>
      <c r="Q96" s="569">
        <f t="shared" si="51"/>
        <v>0</v>
      </c>
      <c r="R96" s="569"/>
      <c r="S96" s="742" t="s">
        <v>347</v>
      </c>
      <c r="T96" s="778" t="s">
        <v>872</v>
      </c>
      <c r="U96" s="493">
        <f>SUM(U97:U99)</f>
        <v>20</v>
      </c>
      <c r="V96" s="493"/>
      <c r="W96" s="577">
        <f>SUM(W97:W99)</f>
        <v>55.02716737479942</v>
      </c>
      <c r="X96" s="577"/>
      <c r="Y96" s="577">
        <f>SUM(Y97:Y99)</f>
        <v>54.69119999999999</v>
      </c>
      <c r="Z96" s="577"/>
      <c r="AA96" s="577">
        <f>SUM(AA97:AA99)</f>
        <v>0.1821279138787727</v>
      </c>
      <c r="AB96" s="577"/>
      <c r="AC96" s="577">
        <f>SUM(AC97:AC99)</f>
        <v>0.1538394609206604</v>
      </c>
      <c r="AD96" s="704"/>
      <c r="AF96" s="520"/>
      <c r="AH96" s="512">
        <v>11035</v>
      </c>
      <c r="AJ96" s="513">
        <v>106.23302983559877</v>
      </c>
      <c r="AK96" s="514">
        <v>105.1948604625895</v>
      </c>
      <c r="AL96" s="513">
        <v>104.86113485125321</v>
      </c>
      <c r="AM96" s="512">
        <v>12</v>
      </c>
      <c r="AN96" s="512">
        <v>1000000</v>
      </c>
      <c r="AO96" s="512">
        <v>0.12</v>
      </c>
      <c r="AP96" s="523">
        <f t="shared" si="49"/>
        <v>0</v>
      </c>
      <c r="AQ96" s="523">
        <f t="shared" si="45"/>
        <v>0</v>
      </c>
      <c r="AR96" s="523">
        <f t="shared" si="46"/>
        <v>0</v>
      </c>
      <c r="AS96" s="512">
        <v>0.18</v>
      </c>
      <c r="AT96" s="523">
        <f t="shared" si="44"/>
        <v>54.691199999999995</v>
      </c>
    </row>
    <row r="97" spans="1:46" ht="27" customHeight="1">
      <c r="A97" s="827"/>
      <c r="B97" s="742"/>
      <c r="C97" s="742"/>
      <c r="D97" s="489">
        <v>2013</v>
      </c>
      <c r="E97" s="578">
        <f>G97+I97+K97+M97+O97+Q97</f>
        <v>304.9</v>
      </c>
      <c r="F97" s="578">
        <v>81.64</v>
      </c>
      <c r="G97" s="569">
        <v>0</v>
      </c>
      <c r="H97" s="586"/>
      <c r="I97" s="578">
        <v>0</v>
      </c>
      <c r="J97" s="578"/>
      <c r="K97" s="569">
        <v>0</v>
      </c>
      <c r="L97" s="569"/>
      <c r="M97" s="492">
        <v>25.7</v>
      </c>
      <c r="N97" s="622">
        <v>81.64</v>
      </c>
      <c r="O97" s="492">
        <v>279.2</v>
      </c>
      <c r="P97" s="492"/>
      <c r="Q97" s="569">
        <v>0</v>
      </c>
      <c r="R97" s="569"/>
      <c r="S97" s="742"/>
      <c r="T97" s="778"/>
      <c r="U97" s="493">
        <f>AE97</f>
        <v>10</v>
      </c>
      <c r="V97" s="493">
        <v>9</v>
      </c>
      <c r="W97" s="577">
        <f>Y97+AA97+AC97</f>
        <v>33.09800853372995</v>
      </c>
      <c r="X97" s="577">
        <f>Z97+AB97+AD97</f>
        <v>0.41600000000000004</v>
      </c>
      <c r="Y97" s="577">
        <f>AT97</f>
        <v>32.929199999999994</v>
      </c>
      <c r="Z97" s="577">
        <v>0.4</v>
      </c>
      <c r="AA97" s="577">
        <f>AR97</f>
        <v>0.09151110613501125</v>
      </c>
      <c r="AB97" s="577">
        <v>0.009</v>
      </c>
      <c r="AC97" s="577">
        <f>AQ97</f>
        <v>0.0772974275949486</v>
      </c>
      <c r="AD97" s="705">
        <v>0.007</v>
      </c>
      <c r="AE97" s="512">
        <f t="shared" si="35"/>
        <v>10</v>
      </c>
      <c r="AF97" s="520">
        <v>10</v>
      </c>
      <c r="AH97" s="512">
        <v>11035</v>
      </c>
      <c r="AJ97" s="513">
        <v>106.23302983559877</v>
      </c>
      <c r="AK97" s="514">
        <v>105.1948604625895</v>
      </c>
      <c r="AL97" s="513">
        <v>104.86113485125321</v>
      </c>
      <c r="AM97" s="512">
        <v>12</v>
      </c>
      <c r="AN97" s="512">
        <v>1000000</v>
      </c>
      <c r="AO97" s="512">
        <v>0.12</v>
      </c>
      <c r="AP97" s="523">
        <f t="shared" si="49"/>
        <v>0.16880853372995985</v>
      </c>
      <c r="AQ97" s="523">
        <f t="shared" si="45"/>
        <v>0.0772974275949486</v>
      </c>
      <c r="AR97" s="523">
        <f t="shared" si="46"/>
        <v>0.09151110613501125</v>
      </c>
      <c r="AS97" s="512">
        <v>0.18</v>
      </c>
      <c r="AT97" s="523">
        <f t="shared" si="44"/>
        <v>32.929199999999994</v>
      </c>
    </row>
    <row r="98" spans="1:46" ht="27" customHeight="1">
      <c r="A98" s="827"/>
      <c r="B98" s="742"/>
      <c r="C98" s="742"/>
      <c r="D98" s="489">
        <v>2014</v>
      </c>
      <c r="E98" s="578">
        <v>53</v>
      </c>
      <c r="F98" s="578">
        <v>63.8</v>
      </c>
      <c r="G98" s="569">
        <v>0</v>
      </c>
      <c r="H98" s="586"/>
      <c r="I98" s="578">
        <v>0</v>
      </c>
      <c r="J98" s="578"/>
      <c r="K98" s="569">
        <v>0</v>
      </c>
      <c r="L98" s="569"/>
      <c r="M98" s="492">
        <v>53</v>
      </c>
      <c r="N98" s="586">
        <v>63.8</v>
      </c>
      <c r="O98" s="569">
        <v>0</v>
      </c>
      <c r="P98" s="569"/>
      <c r="Q98" s="569">
        <v>0</v>
      </c>
      <c r="R98" s="569"/>
      <c r="S98" s="742"/>
      <c r="T98" s="778"/>
      <c r="U98" s="493">
        <f>AE98</f>
        <v>10</v>
      </c>
      <c r="V98" s="493">
        <v>20</v>
      </c>
      <c r="W98" s="577">
        <f>Y98+AA98+AC98</f>
        <v>5.891158841069473</v>
      </c>
      <c r="X98" s="577">
        <v>26.3</v>
      </c>
      <c r="Y98" s="577">
        <f>AT98</f>
        <v>5.723999999999999</v>
      </c>
      <c r="Z98" s="577">
        <v>19.4</v>
      </c>
      <c r="AA98" s="577">
        <f>AR98</f>
        <v>0.09061680774376145</v>
      </c>
      <c r="AB98" s="577">
        <v>3.26</v>
      </c>
      <c r="AC98" s="577">
        <f>AQ98</f>
        <v>0.07654203332571179</v>
      </c>
      <c r="AD98" s="700">
        <v>3.6</v>
      </c>
      <c r="AE98" s="512">
        <f t="shared" si="35"/>
        <v>10</v>
      </c>
      <c r="AF98" s="520">
        <v>10</v>
      </c>
      <c r="AH98" s="512">
        <v>11035</v>
      </c>
      <c r="AJ98" s="513">
        <v>106.23302983559877</v>
      </c>
      <c r="AK98" s="514">
        <v>105.1948604625895</v>
      </c>
      <c r="AL98" s="513">
        <v>104.86113485125321</v>
      </c>
      <c r="AM98" s="512">
        <v>12</v>
      </c>
      <c r="AN98" s="512">
        <v>1000000</v>
      </c>
      <c r="AO98" s="512">
        <v>0.12</v>
      </c>
      <c r="AP98" s="523">
        <f>AE98*AH98*AK98%*AM98/AN98*AO98</f>
        <v>0.16715884106947324</v>
      </c>
      <c r="AQ98" s="523">
        <f t="shared" si="45"/>
        <v>0.07654203332571179</v>
      </c>
      <c r="AR98" s="523">
        <f t="shared" si="46"/>
        <v>0.09061680774376145</v>
      </c>
      <c r="AS98" s="512">
        <v>0.18</v>
      </c>
      <c r="AT98" s="523">
        <f t="shared" si="44"/>
        <v>5.723999999999999</v>
      </c>
    </row>
    <row r="99" spans="1:46" s="644" customFormat="1" ht="41.25" customHeight="1">
      <c r="A99" s="827"/>
      <c r="B99" s="742"/>
      <c r="C99" s="742"/>
      <c r="D99" s="633">
        <v>2015</v>
      </c>
      <c r="E99" s="650">
        <v>148.5</v>
      </c>
      <c r="F99" s="650">
        <v>13.165</v>
      </c>
      <c r="G99" s="634">
        <v>0</v>
      </c>
      <c r="H99" s="667"/>
      <c r="I99" s="650">
        <v>0</v>
      </c>
      <c r="J99" s="650"/>
      <c r="K99" s="634">
        <v>0</v>
      </c>
      <c r="L99" s="634"/>
      <c r="M99" s="635">
        <v>86.5</v>
      </c>
      <c r="N99" s="661">
        <v>13.165</v>
      </c>
      <c r="O99" s="635">
        <v>62</v>
      </c>
      <c r="P99" s="635"/>
      <c r="Q99" s="634">
        <v>0</v>
      </c>
      <c r="R99" s="634"/>
      <c r="S99" s="742"/>
      <c r="T99" s="778"/>
      <c r="U99" s="637">
        <f>AE99</f>
        <v>0</v>
      </c>
      <c r="V99" s="637">
        <v>7</v>
      </c>
      <c r="W99" s="646">
        <f>Y99+AA99+AC99</f>
        <v>16.037999999999997</v>
      </c>
      <c r="X99" s="646">
        <v>67.5</v>
      </c>
      <c r="Y99" s="646">
        <f>AT99</f>
        <v>16.037999999999997</v>
      </c>
      <c r="Z99" s="646">
        <v>28.9</v>
      </c>
      <c r="AA99" s="646">
        <f>AR99</f>
        <v>0</v>
      </c>
      <c r="AB99" s="646">
        <v>1</v>
      </c>
      <c r="AC99" s="646">
        <f>AQ99</f>
        <v>0</v>
      </c>
      <c r="AD99" s="701">
        <v>0.7</v>
      </c>
      <c r="AE99" s="638">
        <f t="shared" si="35"/>
        <v>0</v>
      </c>
      <c r="AF99" s="639">
        <v>0</v>
      </c>
      <c r="AG99" s="638"/>
      <c r="AH99" s="638">
        <v>11035</v>
      </c>
      <c r="AI99" s="638"/>
      <c r="AJ99" s="641">
        <v>106.23302983559877</v>
      </c>
      <c r="AK99" s="642">
        <v>105.1948604625895</v>
      </c>
      <c r="AL99" s="641">
        <v>104.86113485125321</v>
      </c>
      <c r="AM99" s="638">
        <v>12</v>
      </c>
      <c r="AN99" s="638">
        <v>1000000</v>
      </c>
      <c r="AO99" s="638">
        <v>0.12</v>
      </c>
      <c r="AP99" s="643">
        <f t="shared" si="49"/>
        <v>0</v>
      </c>
      <c r="AQ99" s="643">
        <f t="shared" si="45"/>
        <v>0</v>
      </c>
      <c r="AR99" s="643">
        <f t="shared" si="46"/>
        <v>0</v>
      </c>
      <c r="AS99" s="638">
        <v>0.18</v>
      </c>
      <c r="AT99" s="643">
        <f t="shared" si="44"/>
        <v>16.037999999999997</v>
      </c>
    </row>
    <row r="100" spans="1:46" ht="18.75" customHeight="1">
      <c r="A100" s="742" t="s">
        <v>505</v>
      </c>
      <c r="B100" s="742" t="s">
        <v>653</v>
      </c>
      <c r="C100" s="742" t="s">
        <v>849</v>
      </c>
      <c r="D100" s="489" t="s">
        <v>273</v>
      </c>
      <c r="E100" s="578">
        <f t="shared" si="47"/>
        <v>80</v>
      </c>
      <c r="F100" s="578"/>
      <c r="G100" s="569">
        <f aca="true" t="shared" si="52" ref="G100:Q100">SUM(G101:G103)</f>
        <v>0</v>
      </c>
      <c r="H100" s="586"/>
      <c r="I100" s="578">
        <f t="shared" si="52"/>
        <v>0</v>
      </c>
      <c r="J100" s="578"/>
      <c r="K100" s="569">
        <f t="shared" si="52"/>
        <v>0</v>
      </c>
      <c r="L100" s="569"/>
      <c r="M100" s="569">
        <f t="shared" si="52"/>
        <v>80</v>
      </c>
      <c r="N100" s="586"/>
      <c r="O100" s="569">
        <f t="shared" si="52"/>
        <v>0</v>
      </c>
      <c r="P100" s="569"/>
      <c r="Q100" s="569">
        <f t="shared" si="52"/>
        <v>0</v>
      </c>
      <c r="R100" s="569"/>
      <c r="S100" s="742" t="s">
        <v>347</v>
      </c>
      <c r="T100" s="778" t="s">
        <v>524</v>
      </c>
      <c r="U100" s="493">
        <f>SUM(U101:U103)</f>
        <v>30</v>
      </c>
      <c r="V100" s="493"/>
      <c r="W100" s="577">
        <f>SUM(W101:W103)</f>
        <v>9.139885613172106</v>
      </c>
      <c r="X100" s="577"/>
      <c r="Y100" s="577">
        <f>SUM(Y101:Y103)</f>
        <v>8.64</v>
      </c>
      <c r="Z100" s="577"/>
      <c r="AA100" s="577">
        <f>SUM(AA101:AA103)</f>
        <v>0.2709879909005988</v>
      </c>
      <c r="AB100" s="577"/>
      <c r="AC100" s="577">
        <f>SUM(AC101:AC103)</f>
        <v>0.2288976222715074</v>
      </c>
      <c r="AD100" s="700"/>
      <c r="AF100" s="520"/>
      <c r="AH100" s="512">
        <v>11035</v>
      </c>
      <c r="AJ100" s="513">
        <v>106.23302983559877</v>
      </c>
      <c r="AK100" s="514">
        <v>105.1948604625895</v>
      </c>
      <c r="AL100" s="513">
        <v>104.86113485125321</v>
      </c>
      <c r="AM100" s="512">
        <v>12</v>
      </c>
      <c r="AN100" s="512">
        <v>1000000</v>
      </c>
      <c r="AO100" s="512">
        <v>0.12</v>
      </c>
      <c r="AP100" s="523">
        <f t="shared" si="49"/>
        <v>0</v>
      </c>
      <c r="AQ100" s="523">
        <f t="shared" si="45"/>
        <v>0</v>
      </c>
      <c r="AR100" s="523">
        <f t="shared" si="46"/>
        <v>0</v>
      </c>
      <c r="AS100" s="512">
        <v>0.18</v>
      </c>
      <c r="AT100" s="523">
        <f t="shared" si="44"/>
        <v>8.64</v>
      </c>
    </row>
    <row r="101" spans="1:46" ht="18.75" customHeight="1">
      <c r="A101" s="742"/>
      <c r="B101" s="742"/>
      <c r="C101" s="742"/>
      <c r="D101" s="489">
        <v>2013</v>
      </c>
      <c r="E101" s="578">
        <f t="shared" si="47"/>
        <v>0</v>
      </c>
      <c r="F101" s="578"/>
      <c r="G101" s="569">
        <v>0</v>
      </c>
      <c r="H101" s="586"/>
      <c r="I101" s="578">
        <v>0</v>
      </c>
      <c r="J101" s="578"/>
      <c r="K101" s="569">
        <v>0</v>
      </c>
      <c r="L101" s="569"/>
      <c r="M101" s="569">
        <v>0</v>
      </c>
      <c r="N101" s="586"/>
      <c r="O101" s="569">
        <v>0</v>
      </c>
      <c r="P101" s="569"/>
      <c r="Q101" s="569">
        <v>0</v>
      </c>
      <c r="R101" s="569"/>
      <c r="S101" s="742"/>
      <c r="T101" s="778"/>
      <c r="U101" s="493">
        <f>AE101</f>
        <v>0</v>
      </c>
      <c r="V101" s="493"/>
      <c r="W101" s="577">
        <f aca="true" t="shared" si="53" ref="W101:W107">SUM(Y101:AC101)</f>
        <v>0</v>
      </c>
      <c r="X101" s="577"/>
      <c r="Y101" s="577">
        <f>AT101</f>
        <v>0</v>
      </c>
      <c r="Z101" s="577"/>
      <c r="AA101" s="577">
        <f>AR101</f>
        <v>0</v>
      </c>
      <c r="AB101" s="577"/>
      <c r="AC101" s="577">
        <f>AQ101</f>
        <v>0</v>
      </c>
      <c r="AD101" s="700"/>
      <c r="AE101" s="512">
        <f t="shared" si="35"/>
        <v>0</v>
      </c>
      <c r="AF101" s="520">
        <v>0</v>
      </c>
      <c r="AH101" s="512">
        <v>11035</v>
      </c>
      <c r="AJ101" s="513">
        <v>106.23302983559877</v>
      </c>
      <c r="AK101" s="514">
        <v>105.1948604625895</v>
      </c>
      <c r="AL101" s="513">
        <v>104.86113485125321</v>
      </c>
      <c r="AM101" s="512">
        <v>12</v>
      </c>
      <c r="AN101" s="512">
        <v>1000000</v>
      </c>
      <c r="AO101" s="512">
        <v>0.12</v>
      </c>
      <c r="AP101" s="523">
        <f t="shared" si="49"/>
        <v>0</v>
      </c>
      <c r="AQ101" s="523">
        <f t="shared" si="45"/>
        <v>0</v>
      </c>
      <c r="AR101" s="523">
        <f t="shared" si="46"/>
        <v>0</v>
      </c>
      <c r="AS101" s="512">
        <v>0.18</v>
      </c>
      <c r="AT101" s="523">
        <f t="shared" si="44"/>
        <v>0</v>
      </c>
    </row>
    <row r="102" spans="1:46" ht="18.75" customHeight="1">
      <c r="A102" s="742"/>
      <c r="B102" s="742"/>
      <c r="C102" s="742"/>
      <c r="D102" s="489">
        <v>2014</v>
      </c>
      <c r="E102" s="578">
        <v>0</v>
      </c>
      <c r="F102" s="578">
        <v>0.88</v>
      </c>
      <c r="G102" s="569">
        <v>0</v>
      </c>
      <c r="H102" s="586"/>
      <c r="I102" s="578">
        <v>0</v>
      </c>
      <c r="J102" s="578"/>
      <c r="K102" s="569">
        <v>0</v>
      </c>
      <c r="L102" s="569"/>
      <c r="M102" s="569">
        <v>0</v>
      </c>
      <c r="N102" s="586">
        <v>0.88</v>
      </c>
      <c r="O102" s="569">
        <v>0</v>
      </c>
      <c r="P102" s="569"/>
      <c r="Q102" s="569">
        <v>0</v>
      </c>
      <c r="R102" s="569"/>
      <c r="S102" s="742"/>
      <c r="T102" s="778"/>
      <c r="U102" s="493">
        <f>AE102</f>
        <v>0</v>
      </c>
      <c r="V102" s="493"/>
      <c r="W102" s="577">
        <v>0</v>
      </c>
      <c r="X102" s="577">
        <v>1.46</v>
      </c>
      <c r="Y102" s="577">
        <f>AT102</f>
        <v>0</v>
      </c>
      <c r="Z102" s="577">
        <v>1.19</v>
      </c>
      <c r="AA102" s="577">
        <f>AR102</f>
        <v>0</v>
      </c>
      <c r="AB102" s="577">
        <v>0.16</v>
      </c>
      <c r="AC102" s="577">
        <f>AQ102</f>
        <v>0</v>
      </c>
      <c r="AD102" s="700">
        <v>0.11</v>
      </c>
      <c r="AE102" s="512">
        <f t="shared" si="35"/>
        <v>0</v>
      </c>
      <c r="AF102" s="520">
        <v>0</v>
      </c>
      <c r="AH102" s="512">
        <v>11035</v>
      </c>
      <c r="AJ102" s="513">
        <v>106.23302983559877</v>
      </c>
      <c r="AK102" s="514">
        <v>105.1948604625895</v>
      </c>
      <c r="AL102" s="513">
        <v>104.86113485125321</v>
      </c>
      <c r="AM102" s="512">
        <v>12</v>
      </c>
      <c r="AN102" s="512">
        <v>1000000</v>
      </c>
      <c r="AO102" s="512">
        <v>0.12</v>
      </c>
      <c r="AP102" s="523">
        <f t="shared" si="49"/>
        <v>0</v>
      </c>
      <c r="AQ102" s="523">
        <f t="shared" si="45"/>
        <v>0</v>
      </c>
      <c r="AR102" s="523">
        <f t="shared" si="46"/>
        <v>0</v>
      </c>
      <c r="AS102" s="512">
        <v>0.18</v>
      </c>
      <c r="AT102" s="523">
        <f t="shared" si="44"/>
        <v>0</v>
      </c>
    </row>
    <row r="103" spans="1:46" s="644" customFormat="1" ht="18.75" customHeight="1">
      <c r="A103" s="742"/>
      <c r="B103" s="742"/>
      <c r="C103" s="742"/>
      <c r="D103" s="633">
        <v>2015</v>
      </c>
      <c r="E103" s="650">
        <v>80</v>
      </c>
      <c r="F103" s="650">
        <v>0.8915</v>
      </c>
      <c r="G103" s="634">
        <v>0</v>
      </c>
      <c r="H103" s="667"/>
      <c r="I103" s="650">
        <v>0</v>
      </c>
      <c r="J103" s="650"/>
      <c r="K103" s="634">
        <v>0</v>
      </c>
      <c r="L103" s="634"/>
      <c r="M103" s="635">
        <v>80</v>
      </c>
      <c r="N103" s="661">
        <v>0.8915</v>
      </c>
      <c r="O103" s="634">
        <v>0</v>
      </c>
      <c r="P103" s="634"/>
      <c r="Q103" s="634">
        <v>0</v>
      </c>
      <c r="R103" s="634"/>
      <c r="S103" s="742"/>
      <c r="T103" s="778"/>
      <c r="U103" s="637">
        <f>AE103</f>
        <v>30</v>
      </c>
      <c r="V103" s="637">
        <v>5</v>
      </c>
      <c r="W103" s="646">
        <f>Y103+AA103+AC103</f>
        <v>9.139885613172106</v>
      </c>
      <c r="X103" s="646">
        <v>1.4</v>
      </c>
      <c r="Y103" s="646">
        <f>AT103</f>
        <v>8.64</v>
      </c>
      <c r="Z103" s="646">
        <v>1.1</v>
      </c>
      <c r="AA103" s="646">
        <f>AR103</f>
        <v>0.2709879909005988</v>
      </c>
      <c r="AB103" s="646">
        <v>0.2</v>
      </c>
      <c r="AC103" s="646">
        <f>AQ103</f>
        <v>0.2288976222715074</v>
      </c>
      <c r="AD103" s="701">
        <v>0.1</v>
      </c>
      <c r="AE103" s="638">
        <f t="shared" si="35"/>
        <v>30</v>
      </c>
      <c r="AF103" s="639">
        <v>30</v>
      </c>
      <c r="AG103" s="638"/>
      <c r="AH103" s="638">
        <v>11035</v>
      </c>
      <c r="AI103" s="638"/>
      <c r="AJ103" s="641">
        <v>106.23302983559877</v>
      </c>
      <c r="AK103" s="642">
        <v>105.1948604625895</v>
      </c>
      <c r="AL103" s="641">
        <v>104.86113485125321</v>
      </c>
      <c r="AM103" s="638">
        <v>12</v>
      </c>
      <c r="AN103" s="638">
        <v>1000000</v>
      </c>
      <c r="AO103" s="638">
        <v>0.12</v>
      </c>
      <c r="AP103" s="643">
        <f>AE103*AH103*AL103%*AM103/AN103*AO103</f>
        <v>0.49988561317210617</v>
      </c>
      <c r="AQ103" s="643">
        <f t="shared" si="45"/>
        <v>0.2288976222715074</v>
      </c>
      <c r="AR103" s="643">
        <f t="shared" si="46"/>
        <v>0.2709879909005988</v>
      </c>
      <c r="AS103" s="638">
        <v>0.18</v>
      </c>
      <c r="AT103" s="643">
        <f t="shared" si="44"/>
        <v>8.64</v>
      </c>
    </row>
    <row r="104" spans="1:64" s="535" customFormat="1" ht="21.75" customHeight="1">
      <c r="A104" s="742" t="s">
        <v>522</v>
      </c>
      <c r="B104" s="742" t="s">
        <v>322</v>
      </c>
      <c r="C104" s="742" t="s">
        <v>421</v>
      </c>
      <c r="D104" s="489" t="s">
        <v>341</v>
      </c>
      <c r="E104" s="578">
        <f t="shared" si="47"/>
        <v>80</v>
      </c>
      <c r="F104" s="578"/>
      <c r="G104" s="569">
        <f aca="true" t="shared" si="54" ref="G104:Q104">SUM(G105:G107)</f>
        <v>0</v>
      </c>
      <c r="H104" s="586"/>
      <c r="I104" s="578">
        <f t="shared" si="54"/>
        <v>0</v>
      </c>
      <c r="J104" s="578"/>
      <c r="K104" s="569">
        <f t="shared" si="54"/>
        <v>0</v>
      </c>
      <c r="L104" s="569"/>
      <c r="M104" s="569">
        <f t="shared" si="54"/>
        <v>30</v>
      </c>
      <c r="N104" s="586"/>
      <c r="O104" s="569">
        <f t="shared" si="54"/>
        <v>50</v>
      </c>
      <c r="P104" s="569"/>
      <c r="Q104" s="569">
        <f t="shared" si="54"/>
        <v>0</v>
      </c>
      <c r="R104" s="569"/>
      <c r="S104" s="782" t="s">
        <v>525</v>
      </c>
      <c r="T104" s="788" t="s">
        <v>526</v>
      </c>
      <c r="U104" s="493">
        <f>SUM(U105:U107)</f>
        <v>40</v>
      </c>
      <c r="V104" s="493"/>
      <c r="W104" s="577">
        <f t="shared" si="53"/>
        <v>9.307574757587018</v>
      </c>
      <c r="X104" s="577"/>
      <c r="Y104" s="577">
        <f>SUM(Y105:Y107)</f>
        <v>8.64</v>
      </c>
      <c r="Z104" s="577"/>
      <c r="AA104" s="577">
        <f>SUM(AA105:AA107)</f>
        <v>0.36189227608792207</v>
      </c>
      <c r="AB104" s="577"/>
      <c r="AC104" s="577">
        <f>SUM(AC105:AC107)</f>
        <v>0.30568248149909516</v>
      </c>
      <c r="AD104" s="622"/>
      <c r="AE104" s="512"/>
      <c r="AF104" s="520"/>
      <c r="AG104" s="534"/>
      <c r="AH104" s="512">
        <v>11035</v>
      </c>
      <c r="AI104" s="512"/>
      <c r="AJ104" s="513">
        <v>106.23302983559877</v>
      </c>
      <c r="AK104" s="514">
        <v>105.1948604625895</v>
      </c>
      <c r="AL104" s="513">
        <v>104.86113485125321</v>
      </c>
      <c r="AM104" s="512">
        <v>12</v>
      </c>
      <c r="AN104" s="512">
        <v>1000000</v>
      </c>
      <c r="AO104" s="512">
        <v>0.12</v>
      </c>
      <c r="AP104" s="523">
        <f t="shared" si="49"/>
        <v>0</v>
      </c>
      <c r="AQ104" s="523">
        <f t="shared" si="45"/>
        <v>0</v>
      </c>
      <c r="AR104" s="523">
        <f t="shared" si="46"/>
        <v>0</v>
      </c>
      <c r="AS104" s="512">
        <v>0.18</v>
      </c>
      <c r="AT104" s="523">
        <f t="shared" si="44"/>
        <v>8.64</v>
      </c>
      <c r="BC104" s="536"/>
      <c r="BD104" s="536"/>
      <c r="BE104" s="536"/>
      <c r="BF104" s="536"/>
      <c r="BG104" s="537"/>
      <c r="BH104" s="537"/>
      <c r="BJ104" s="538"/>
      <c r="BK104" s="538"/>
      <c r="BL104" s="539"/>
    </row>
    <row r="105" spans="1:64" s="535" customFormat="1" ht="21.75" customHeight="1">
      <c r="A105" s="742"/>
      <c r="B105" s="742"/>
      <c r="C105" s="742"/>
      <c r="D105" s="489">
        <v>2013</v>
      </c>
      <c r="E105" s="578">
        <f t="shared" si="47"/>
        <v>0</v>
      </c>
      <c r="F105" s="578"/>
      <c r="G105" s="569">
        <v>0</v>
      </c>
      <c r="H105" s="586"/>
      <c r="I105" s="578">
        <v>0</v>
      </c>
      <c r="J105" s="578"/>
      <c r="K105" s="569">
        <v>0</v>
      </c>
      <c r="L105" s="569"/>
      <c r="M105" s="569">
        <v>0</v>
      </c>
      <c r="N105" s="586"/>
      <c r="O105" s="569">
        <v>0</v>
      </c>
      <c r="P105" s="569"/>
      <c r="Q105" s="569">
        <v>0</v>
      </c>
      <c r="R105" s="569"/>
      <c r="S105" s="782"/>
      <c r="T105" s="788"/>
      <c r="U105" s="493">
        <f>AE105</f>
        <v>0</v>
      </c>
      <c r="V105" s="493"/>
      <c r="W105" s="577">
        <f t="shared" si="53"/>
        <v>0</v>
      </c>
      <c r="X105" s="577"/>
      <c r="Y105" s="577">
        <f>AT105</f>
        <v>0</v>
      </c>
      <c r="Z105" s="577"/>
      <c r="AA105" s="577">
        <f>AR105</f>
        <v>0</v>
      </c>
      <c r="AB105" s="577"/>
      <c r="AC105" s="577">
        <f>AQ105</f>
        <v>0</v>
      </c>
      <c r="AD105" s="622"/>
      <c r="AE105" s="512">
        <f t="shared" si="35"/>
        <v>0</v>
      </c>
      <c r="AF105" s="540">
        <v>0</v>
      </c>
      <c r="AG105" s="534"/>
      <c r="AH105" s="512">
        <v>11035</v>
      </c>
      <c r="AI105" s="512"/>
      <c r="AJ105" s="513">
        <v>106.23302983559877</v>
      </c>
      <c r="AK105" s="514">
        <v>105.1948604625895</v>
      </c>
      <c r="AL105" s="513">
        <v>104.86113485125321</v>
      </c>
      <c r="AM105" s="512">
        <v>12</v>
      </c>
      <c r="AN105" s="512">
        <v>1000000</v>
      </c>
      <c r="AO105" s="512">
        <v>0.12</v>
      </c>
      <c r="AP105" s="523">
        <f t="shared" si="49"/>
        <v>0</v>
      </c>
      <c r="AQ105" s="523">
        <f t="shared" si="45"/>
        <v>0</v>
      </c>
      <c r="AR105" s="523">
        <f t="shared" si="46"/>
        <v>0</v>
      </c>
      <c r="AS105" s="512">
        <v>0.18</v>
      </c>
      <c r="AT105" s="523">
        <f t="shared" si="44"/>
        <v>0</v>
      </c>
      <c r="BC105" s="536"/>
      <c r="BD105" s="536"/>
      <c r="BE105" s="536"/>
      <c r="BF105" s="536"/>
      <c r="BG105" s="537"/>
      <c r="BH105" s="537"/>
      <c r="BJ105" s="538"/>
      <c r="BK105" s="538"/>
      <c r="BL105" s="539"/>
    </row>
    <row r="106" spans="1:64" s="535" customFormat="1" ht="21.75" customHeight="1">
      <c r="A106" s="742"/>
      <c r="B106" s="742"/>
      <c r="C106" s="742"/>
      <c r="D106" s="489">
        <v>2014</v>
      </c>
      <c r="E106" s="578">
        <f t="shared" si="47"/>
        <v>40</v>
      </c>
      <c r="F106" s="578"/>
      <c r="G106" s="569">
        <v>0</v>
      </c>
      <c r="H106" s="586"/>
      <c r="I106" s="578">
        <v>0</v>
      </c>
      <c r="J106" s="578"/>
      <c r="K106" s="569">
        <v>0</v>
      </c>
      <c r="L106" s="569"/>
      <c r="M106" s="492">
        <v>15</v>
      </c>
      <c r="N106" s="622"/>
      <c r="O106" s="492">
        <v>25</v>
      </c>
      <c r="P106" s="492"/>
      <c r="Q106" s="569">
        <v>0</v>
      </c>
      <c r="R106" s="569"/>
      <c r="S106" s="782"/>
      <c r="T106" s="788"/>
      <c r="U106" s="493">
        <f>AE106</f>
        <v>20</v>
      </c>
      <c r="V106" s="493"/>
      <c r="W106" s="577">
        <f t="shared" si="53"/>
        <v>4.654317682138947</v>
      </c>
      <c r="X106" s="577"/>
      <c r="Y106" s="577">
        <f>AT106</f>
        <v>4.32</v>
      </c>
      <c r="Z106" s="577"/>
      <c r="AA106" s="577">
        <f>AR106</f>
        <v>0.1812336154875229</v>
      </c>
      <c r="AB106" s="577"/>
      <c r="AC106" s="577">
        <f>AQ106</f>
        <v>0.15308406665142357</v>
      </c>
      <c r="AD106" s="622"/>
      <c r="AE106" s="512">
        <f t="shared" si="35"/>
        <v>20</v>
      </c>
      <c r="AF106" s="540">
        <v>20</v>
      </c>
      <c r="AG106" s="534"/>
      <c r="AH106" s="512">
        <v>11035</v>
      </c>
      <c r="AI106" s="512"/>
      <c r="AJ106" s="513">
        <v>106.23302983559877</v>
      </c>
      <c r="AK106" s="514">
        <v>105.1948604625895</v>
      </c>
      <c r="AL106" s="513">
        <v>104.86113485125321</v>
      </c>
      <c r="AM106" s="512">
        <v>12</v>
      </c>
      <c r="AN106" s="512">
        <v>1000000</v>
      </c>
      <c r="AO106" s="512">
        <v>0.12</v>
      </c>
      <c r="AP106" s="523">
        <f>AE106*AH106*AK106%*AM106/AN106*AO106</f>
        <v>0.33431768213894647</v>
      </c>
      <c r="AQ106" s="523">
        <f t="shared" si="45"/>
        <v>0.15308406665142357</v>
      </c>
      <c r="AR106" s="523">
        <f t="shared" si="46"/>
        <v>0.1812336154875229</v>
      </c>
      <c r="AS106" s="512">
        <v>0.18</v>
      </c>
      <c r="AT106" s="523">
        <f t="shared" si="44"/>
        <v>4.32</v>
      </c>
      <c r="BC106" s="536"/>
      <c r="BD106" s="536"/>
      <c r="BE106" s="536"/>
      <c r="BF106" s="536"/>
      <c r="BG106" s="537"/>
      <c r="BH106" s="537"/>
      <c r="BJ106" s="538"/>
      <c r="BK106" s="538"/>
      <c r="BL106" s="539"/>
    </row>
    <row r="107" spans="1:64" s="670" customFormat="1" ht="21.75" customHeight="1">
      <c r="A107" s="742"/>
      <c r="B107" s="742"/>
      <c r="C107" s="742"/>
      <c r="D107" s="633">
        <v>2015</v>
      </c>
      <c r="E107" s="650">
        <f t="shared" si="47"/>
        <v>40</v>
      </c>
      <c r="F107" s="650">
        <v>0</v>
      </c>
      <c r="G107" s="634">
        <v>0</v>
      </c>
      <c r="H107" s="667"/>
      <c r="I107" s="650">
        <v>0</v>
      </c>
      <c r="J107" s="650"/>
      <c r="K107" s="634">
        <v>0</v>
      </c>
      <c r="L107" s="634"/>
      <c r="M107" s="635">
        <v>15</v>
      </c>
      <c r="N107" s="661">
        <v>0</v>
      </c>
      <c r="O107" s="635">
        <v>25</v>
      </c>
      <c r="P107" s="635"/>
      <c r="Q107" s="634">
        <v>0</v>
      </c>
      <c r="R107" s="634"/>
      <c r="S107" s="782"/>
      <c r="T107" s="788"/>
      <c r="U107" s="637">
        <f>AE107</f>
        <v>20</v>
      </c>
      <c r="V107" s="637"/>
      <c r="W107" s="646">
        <f t="shared" si="53"/>
        <v>4.653257075448072</v>
      </c>
      <c r="X107" s="646"/>
      <c r="Y107" s="646">
        <f>AT107</f>
        <v>4.32</v>
      </c>
      <c r="Z107" s="646"/>
      <c r="AA107" s="646">
        <f>AR107</f>
        <v>0.1806586606003992</v>
      </c>
      <c r="AB107" s="646"/>
      <c r="AC107" s="646">
        <f>AQ107</f>
        <v>0.15259841484767162</v>
      </c>
      <c r="AD107" s="661"/>
      <c r="AE107" s="638">
        <f t="shared" si="35"/>
        <v>20</v>
      </c>
      <c r="AF107" s="659">
        <v>20</v>
      </c>
      <c r="AG107" s="669"/>
      <c r="AH107" s="638">
        <v>11035</v>
      </c>
      <c r="AI107" s="638"/>
      <c r="AJ107" s="641">
        <v>106.23302983559877</v>
      </c>
      <c r="AK107" s="642">
        <v>105.1948604625895</v>
      </c>
      <c r="AL107" s="641">
        <v>104.86113485125321</v>
      </c>
      <c r="AM107" s="638">
        <v>12</v>
      </c>
      <c r="AN107" s="638">
        <v>1000000</v>
      </c>
      <c r="AO107" s="638">
        <v>0.12</v>
      </c>
      <c r="AP107" s="643">
        <f>AE107*AH107*AL107%*AM107/AN107*AO107</f>
        <v>0.3332570754480708</v>
      </c>
      <c r="AQ107" s="643">
        <f t="shared" si="45"/>
        <v>0.15259841484767162</v>
      </c>
      <c r="AR107" s="643">
        <f t="shared" si="46"/>
        <v>0.1806586606003992</v>
      </c>
      <c r="AS107" s="638">
        <v>0.18</v>
      </c>
      <c r="AT107" s="643">
        <f t="shared" si="44"/>
        <v>4.32</v>
      </c>
      <c r="BC107" s="671"/>
      <c r="BD107" s="671"/>
      <c r="BE107" s="671"/>
      <c r="BF107" s="671"/>
      <c r="BG107" s="672"/>
      <c r="BH107" s="672"/>
      <c r="BJ107" s="673"/>
      <c r="BK107" s="673"/>
      <c r="BL107" s="674"/>
    </row>
    <row r="108" spans="1:73" ht="18.75" customHeight="1">
      <c r="A108" s="805" t="s">
        <v>501</v>
      </c>
      <c r="B108" s="805"/>
      <c r="C108" s="805"/>
      <c r="D108" s="805"/>
      <c r="E108" s="805"/>
      <c r="F108" s="805"/>
      <c r="G108" s="805"/>
      <c r="H108" s="805"/>
      <c r="I108" s="805"/>
      <c r="J108" s="805"/>
      <c r="K108" s="805"/>
      <c r="L108" s="805"/>
      <c r="M108" s="805"/>
      <c r="N108" s="805"/>
      <c r="O108" s="805"/>
      <c r="P108" s="805"/>
      <c r="Q108" s="805"/>
      <c r="R108" s="805"/>
      <c r="S108" s="805"/>
      <c r="T108" s="805"/>
      <c r="U108" s="805"/>
      <c r="V108" s="805"/>
      <c r="W108" s="805"/>
      <c r="X108" s="805"/>
      <c r="Y108" s="805"/>
      <c r="Z108" s="805"/>
      <c r="AA108" s="805"/>
      <c r="AB108" s="805"/>
      <c r="AC108" s="805"/>
      <c r="AD108" s="700"/>
      <c r="AG108" s="525"/>
      <c r="AH108" s="512">
        <v>11035</v>
      </c>
      <c r="AJ108" s="513">
        <v>106.23302983559877</v>
      </c>
      <c r="AK108" s="514">
        <v>105.1948604625895</v>
      </c>
      <c r="AL108" s="513">
        <v>104.86113485125321</v>
      </c>
      <c r="AM108" s="512">
        <v>12</v>
      </c>
      <c r="AN108" s="512">
        <v>1000000</v>
      </c>
      <c r="AO108" s="512">
        <v>0.12</v>
      </c>
      <c r="AP108" s="523">
        <f t="shared" si="49"/>
        <v>0</v>
      </c>
      <c r="AQ108" s="523">
        <f t="shared" si="45"/>
        <v>0</v>
      </c>
      <c r="AR108" s="523">
        <f t="shared" si="46"/>
        <v>0</v>
      </c>
      <c r="AS108" s="512">
        <v>0.18</v>
      </c>
      <c r="AT108" s="523">
        <f t="shared" si="44"/>
        <v>0</v>
      </c>
      <c r="BL108" s="529"/>
      <c r="BM108" s="529"/>
      <c r="BN108" s="529"/>
      <c r="BO108" s="529"/>
      <c r="BP108" s="526"/>
      <c r="BQ108" s="526"/>
      <c r="BS108" s="527"/>
      <c r="BT108" s="527"/>
      <c r="BU108" s="528"/>
    </row>
    <row r="109" spans="1:46" ht="21" customHeight="1">
      <c r="A109" s="742">
        <v>2</v>
      </c>
      <c r="B109" s="742" t="s">
        <v>597</v>
      </c>
      <c r="C109" s="742" t="s">
        <v>849</v>
      </c>
      <c r="D109" s="489" t="s">
        <v>273</v>
      </c>
      <c r="E109" s="578">
        <f>SUM(G109:Q109)</f>
        <v>240</v>
      </c>
      <c r="F109" s="578"/>
      <c r="G109" s="569">
        <f aca="true" t="shared" si="55" ref="G109:Q109">SUM(G110:G112)</f>
        <v>0</v>
      </c>
      <c r="H109" s="586"/>
      <c r="I109" s="578">
        <f t="shared" si="55"/>
        <v>0</v>
      </c>
      <c r="J109" s="578"/>
      <c r="K109" s="569">
        <f t="shared" si="55"/>
        <v>0</v>
      </c>
      <c r="L109" s="569"/>
      <c r="M109" s="569">
        <f t="shared" si="55"/>
        <v>160</v>
      </c>
      <c r="N109" s="586"/>
      <c r="O109" s="569">
        <f t="shared" si="55"/>
        <v>80</v>
      </c>
      <c r="P109" s="569"/>
      <c r="Q109" s="569">
        <f t="shared" si="55"/>
        <v>0</v>
      </c>
      <c r="R109" s="569"/>
      <c r="S109" s="742" t="s">
        <v>20</v>
      </c>
      <c r="T109" s="778" t="s">
        <v>504</v>
      </c>
      <c r="U109" s="493">
        <f>SUM(U110:U112)</f>
        <v>50</v>
      </c>
      <c r="V109" s="493"/>
      <c r="W109" s="577">
        <f>SUM(W110:W112)</f>
        <v>26.753142688620173</v>
      </c>
      <c r="X109" s="577"/>
      <c r="Y109" s="577">
        <f>SUM(Y110:Y112)</f>
        <v>25.919999999999998</v>
      </c>
      <c r="Z109" s="577"/>
      <c r="AA109" s="577">
        <f>SUM(AA110:AA112)</f>
        <v>0.45164665150099786</v>
      </c>
      <c r="AB109" s="577"/>
      <c r="AC109" s="577">
        <f>SUM(AC110:AC112)</f>
        <v>0.38149603711917895</v>
      </c>
      <c r="AD109" s="700"/>
      <c r="AF109" s="520"/>
      <c r="AH109" s="512">
        <v>11035</v>
      </c>
      <c r="AJ109" s="513">
        <v>106.23302983559877</v>
      </c>
      <c r="AK109" s="514">
        <v>105.1948604625895</v>
      </c>
      <c r="AL109" s="513">
        <v>104.86113485125321</v>
      </c>
      <c r="AM109" s="512">
        <v>12</v>
      </c>
      <c r="AN109" s="512">
        <v>1000000</v>
      </c>
      <c r="AO109" s="512">
        <v>0.12</v>
      </c>
      <c r="AP109" s="523">
        <f t="shared" si="49"/>
        <v>0</v>
      </c>
      <c r="AQ109" s="523">
        <f t="shared" si="45"/>
        <v>0</v>
      </c>
      <c r="AR109" s="523">
        <f t="shared" si="46"/>
        <v>0</v>
      </c>
      <c r="AS109" s="512">
        <v>0.18</v>
      </c>
      <c r="AT109" s="523">
        <f t="shared" si="44"/>
        <v>25.919999999999998</v>
      </c>
    </row>
    <row r="110" spans="1:46" ht="21" customHeight="1">
      <c r="A110" s="742"/>
      <c r="B110" s="742"/>
      <c r="C110" s="742"/>
      <c r="D110" s="489">
        <v>2013</v>
      </c>
      <c r="E110" s="578">
        <f>G110+I110+M110+O110+Q110</f>
        <v>0</v>
      </c>
      <c r="F110" s="578">
        <v>1.2</v>
      </c>
      <c r="G110" s="569">
        <v>0</v>
      </c>
      <c r="H110" s="586"/>
      <c r="I110" s="578">
        <v>0</v>
      </c>
      <c r="J110" s="578"/>
      <c r="K110" s="569">
        <v>0</v>
      </c>
      <c r="L110" s="569"/>
      <c r="M110" s="569">
        <v>0</v>
      </c>
      <c r="N110" s="586">
        <v>1.2</v>
      </c>
      <c r="O110" s="569">
        <v>0</v>
      </c>
      <c r="P110" s="569"/>
      <c r="Q110" s="569">
        <v>0</v>
      </c>
      <c r="R110" s="569"/>
      <c r="S110" s="742"/>
      <c r="T110" s="778"/>
      <c r="U110" s="493">
        <f>AE110</f>
        <v>0</v>
      </c>
      <c r="V110" s="579">
        <v>0</v>
      </c>
      <c r="W110" s="577">
        <f>SUM(Y110:AC110)</f>
        <v>0</v>
      </c>
      <c r="X110" s="577">
        <v>0.015</v>
      </c>
      <c r="Y110" s="577">
        <f>AT110</f>
        <v>0</v>
      </c>
      <c r="Z110" s="577"/>
      <c r="AA110" s="577">
        <f>AR110</f>
        <v>0</v>
      </c>
      <c r="AB110" s="577"/>
      <c r="AC110" s="577">
        <f>AQ110</f>
        <v>0</v>
      </c>
      <c r="AD110" s="586">
        <v>0.015</v>
      </c>
      <c r="AE110" s="512">
        <f t="shared" si="35"/>
        <v>0</v>
      </c>
      <c r="AF110" s="520">
        <v>0</v>
      </c>
      <c r="AH110" s="512">
        <v>11035</v>
      </c>
      <c r="AJ110" s="513">
        <v>106.23302983559877</v>
      </c>
      <c r="AK110" s="514">
        <v>105.1948604625895</v>
      </c>
      <c r="AL110" s="513">
        <v>104.86113485125321</v>
      </c>
      <c r="AM110" s="512">
        <v>12</v>
      </c>
      <c r="AN110" s="512">
        <v>1000000</v>
      </c>
      <c r="AO110" s="512">
        <v>0.12</v>
      </c>
      <c r="AP110" s="523">
        <f t="shared" si="49"/>
        <v>0</v>
      </c>
      <c r="AQ110" s="523">
        <f t="shared" si="45"/>
        <v>0</v>
      </c>
      <c r="AR110" s="523">
        <f t="shared" si="46"/>
        <v>0</v>
      </c>
      <c r="AS110" s="512">
        <v>0.18</v>
      </c>
      <c r="AT110" s="523">
        <f t="shared" si="44"/>
        <v>0</v>
      </c>
    </row>
    <row r="111" spans="1:46" ht="21" customHeight="1">
      <c r="A111" s="742"/>
      <c r="B111" s="742"/>
      <c r="C111" s="742"/>
      <c r="D111" s="489">
        <v>2014</v>
      </c>
      <c r="E111" s="578">
        <f>SUM(G111:Q111)</f>
        <v>0</v>
      </c>
      <c r="F111" s="578"/>
      <c r="G111" s="569">
        <v>0</v>
      </c>
      <c r="H111" s="586"/>
      <c r="I111" s="578">
        <v>0</v>
      </c>
      <c r="J111" s="578"/>
      <c r="K111" s="569">
        <v>0</v>
      </c>
      <c r="L111" s="569"/>
      <c r="M111" s="569">
        <v>0</v>
      </c>
      <c r="N111" s="586"/>
      <c r="O111" s="569">
        <v>0</v>
      </c>
      <c r="P111" s="569"/>
      <c r="Q111" s="569">
        <v>0</v>
      </c>
      <c r="R111" s="569"/>
      <c r="S111" s="742"/>
      <c r="T111" s="778"/>
      <c r="U111" s="493">
        <f>AE111</f>
        <v>0</v>
      </c>
      <c r="V111" s="493"/>
      <c r="W111" s="577">
        <f>SUM(Y111:AC111)</f>
        <v>0</v>
      </c>
      <c r="X111" s="577"/>
      <c r="Y111" s="577">
        <f>AT111</f>
        <v>0</v>
      </c>
      <c r="Z111" s="577"/>
      <c r="AA111" s="577">
        <f>AR111</f>
        <v>0</v>
      </c>
      <c r="AB111" s="577"/>
      <c r="AC111" s="577">
        <f>AQ111</f>
        <v>0</v>
      </c>
      <c r="AD111" s="700"/>
      <c r="AE111" s="512">
        <f t="shared" si="35"/>
        <v>0</v>
      </c>
      <c r="AF111" s="520">
        <v>0</v>
      </c>
      <c r="AH111" s="512">
        <v>11035</v>
      </c>
      <c r="AJ111" s="513">
        <v>106.23302983559877</v>
      </c>
      <c r="AK111" s="514">
        <v>105.1948604625895</v>
      </c>
      <c r="AL111" s="513">
        <v>104.86113485125321</v>
      </c>
      <c r="AM111" s="512">
        <v>12</v>
      </c>
      <c r="AN111" s="512">
        <v>1000000</v>
      </c>
      <c r="AO111" s="512">
        <v>0.12</v>
      </c>
      <c r="AP111" s="523">
        <f t="shared" si="49"/>
        <v>0</v>
      </c>
      <c r="AQ111" s="523">
        <f t="shared" si="45"/>
        <v>0</v>
      </c>
      <c r="AR111" s="523">
        <f t="shared" si="46"/>
        <v>0</v>
      </c>
      <c r="AS111" s="512">
        <v>0.18</v>
      </c>
      <c r="AT111" s="523">
        <f t="shared" si="44"/>
        <v>0</v>
      </c>
    </row>
    <row r="112" spans="1:46" s="644" customFormat="1" ht="21" customHeight="1">
      <c r="A112" s="742"/>
      <c r="B112" s="742"/>
      <c r="C112" s="742"/>
      <c r="D112" s="633">
        <v>2015</v>
      </c>
      <c r="E112" s="646">
        <v>240</v>
      </c>
      <c r="F112" s="646">
        <v>0</v>
      </c>
      <c r="G112" s="634">
        <v>0</v>
      </c>
      <c r="H112" s="667">
        <v>0</v>
      </c>
      <c r="I112" s="650">
        <v>0</v>
      </c>
      <c r="J112" s="650">
        <v>0</v>
      </c>
      <c r="K112" s="634">
        <v>0</v>
      </c>
      <c r="L112" s="634"/>
      <c r="M112" s="635">
        <v>160</v>
      </c>
      <c r="N112" s="661">
        <v>0</v>
      </c>
      <c r="O112" s="635">
        <v>80</v>
      </c>
      <c r="P112" s="635"/>
      <c r="Q112" s="634">
        <v>0</v>
      </c>
      <c r="R112" s="634"/>
      <c r="S112" s="742"/>
      <c r="T112" s="778"/>
      <c r="U112" s="637">
        <f>AE112</f>
        <v>50</v>
      </c>
      <c r="V112" s="637"/>
      <c r="W112" s="646">
        <f>Y112+AA112+AC112</f>
        <v>26.753142688620173</v>
      </c>
      <c r="X112" s="646"/>
      <c r="Y112" s="646">
        <f>AT112</f>
        <v>25.919999999999998</v>
      </c>
      <c r="Z112" s="646"/>
      <c r="AA112" s="646">
        <f>AR112</f>
        <v>0.45164665150099786</v>
      </c>
      <c r="AB112" s="646"/>
      <c r="AC112" s="646">
        <f>AQ112</f>
        <v>0.38149603711917895</v>
      </c>
      <c r="AD112" s="701"/>
      <c r="AE112" s="638">
        <f t="shared" si="35"/>
        <v>50</v>
      </c>
      <c r="AF112" s="639">
        <v>50</v>
      </c>
      <c r="AG112" s="638"/>
      <c r="AH112" s="638">
        <v>11035</v>
      </c>
      <c r="AI112" s="638"/>
      <c r="AJ112" s="641">
        <v>106.23302983559877</v>
      </c>
      <c r="AK112" s="642">
        <v>105.1948604625895</v>
      </c>
      <c r="AL112" s="641">
        <v>104.86113485125321</v>
      </c>
      <c r="AM112" s="638">
        <v>12</v>
      </c>
      <c r="AN112" s="638">
        <v>1000000</v>
      </c>
      <c r="AO112" s="638">
        <v>0.12</v>
      </c>
      <c r="AP112" s="643">
        <f>AE112*AH112*AL112%*AM112/AN112*AO112</f>
        <v>0.8331426886201768</v>
      </c>
      <c r="AQ112" s="643">
        <f t="shared" si="45"/>
        <v>0.38149603711917895</v>
      </c>
      <c r="AR112" s="643">
        <f t="shared" si="46"/>
        <v>0.45164665150099786</v>
      </c>
      <c r="AS112" s="638">
        <v>0.18</v>
      </c>
      <c r="AT112" s="643">
        <f t="shared" si="44"/>
        <v>25.919999999999998</v>
      </c>
    </row>
    <row r="113" spans="1:46" ht="91.5" customHeight="1">
      <c r="A113" s="742">
        <v>3</v>
      </c>
      <c r="B113" s="768" t="s">
        <v>637</v>
      </c>
      <c r="C113" s="742" t="s">
        <v>350</v>
      </c>
      <c r="D113" s="489" t="s">
        <v>273</v>
      </c>
      <c r="E113" s="578">
        <f aca="true" t="shared" si="56" ref="E113:E125">SUM(G113:Q113)</f>
        <v>2.3</v>
      </c>
      <c r="F113" s="578"/>
      <c r="G113" s="569">
        <f aca="true" t="shared" si="57" ref="G113:Q113">SUM(G114:G116)</f>
        <v>0</v>
      </c>
      <c r="H113" s="586"/>
      <c r="I113" s="578">
        <f t="shared" si="57"/>
        <v>0</v>
      </c>
      <c r="J113" s="578"/>
      <c r="K113" s="569">
        <f t="shared" si="57"/>
        <v>0</v>
      </c>
      <c r="L113" s="569"/>
      <c r="M113" s="569">
        <f t="shared" si="57"/>
        <v>2.3</v>
      </c>
      <c r="N113" s="586"/>
      <c r="O113" s="569">
        <f t="shared" si="57"/>
        <v>0</v>
      </c>
      <c r="P113" s="569"/>
      <c r="Q113" s="569">
        <f t="shared" si="57"/>
        <v>0</v>
      </c>
      <c r="R113" s="569"/>
      <c r="S113" s="782" t="s">
        <v>22</v>
      </c>
      <c r="T113" s="778" t="s">
        <v>667</v>
      </c>
      <c r="U113" s="493">
        <f>SUM(U114:U116)</f>
        <v>2</v>
      </c>
      <c r="V113" s="493"/>
      <c r="W113" s="577">
        <f>SUM(W114:W116)</f>
        <v>0.35945310892346816</v>
      </c>
      <c r="X113" s="577"/>
      <c r="Y113" s="577">
        <f>SUM(Y114:Y116)</f>
        <v>0.24839999999999998</v>
      </c>
      <c r="Z113" s="577"/>
      <c r="AA113" s="577">
        <f>SUM(AA114:AA116)</f>
        <v>0.025019600347412085</v>
      </c>
      <c r="AB113" s="577"/>
      <c r="AC113" s="577">
        <f>SUM(AC114:AC116)</f>
        <v>0.021133508576056063</v>
      </c>
      <c r="AD113" s="700"/>
      <c r="AF113" s="520"/>
      <c r="AH113" s="512">
        <v>15234</v>
      </c>
      <c r="AJ113" s="513">
        <v>106.23302983559877</v>
      </c>
      <c r="AK113" s="514">
        <v>105.1948604625895</v>
      </c>
      <c r="AL113" s="513">
        <v>104.86113485125321</v>
      </c>
      <c r="AM113" s="512">
        <v>12</v>
      </c>
      <c r="AN113" s="512">
        <v>1000000</v>
      </c>
      <c r="AO113" s="512">
        <v>0.12</v>
      </c>
      <c r="AP113" s="523">
        <f t="shared" si="49"/>
        <v>0</v>
      </c>
      <c r="AQ113" s="523">
        <f t="shared" si="45"/>
        <v>0</v>
      </c>
      <c r="AR113" s="523">
        <f t="shared" si="46"/>
        <v>0</v>
      </c>
      <c r="AS113" s="512">
        <v>0.18</v>
      </c>
      <c r="AT113" s="523">
        <f t="shared" si="44"/>
        <v>0.24839999999999998</v>
      </c>
    </row>
    <row r="114" spans="1:46" ht="24.75" customHeight="1">
      <c r="A114" s="742"/>
      <c r="B114" s="769"/>
      <c r="C114" s="742"/>
      <c r="D114" s="489">
        <v>2013</v>
      </c>
      <c r="E114" s="578">
        <f>G114+I114+M114+O114+Q114</f>
        <v>0.2</v>
      </c>
      <c r="F114" s="578">
        <v>0.775</v>
      </c>
      <c r="G114" s="569">
        <v>0</v>
      </c>
      <c r="H114" s="586"/>
      <c r="I114" s="578">
        <v>0</v>
      </c>
      <c r="J114" s="578"/>
      <c r="K114" s="569">
        <v>0</v>
      </c>
      <c r="L114" s="569"/>
      <c r="M114" s="492">
        <v>0.2</v>
      </c>
      <c r="N114" s="622">
        <v>0.775</v>
      </c>
      <c r="O114" s="569">
        <v>0</v>
      </c>
      <c r="P114" s="569"/>
      <c r="Q114" s="569">
        <v>0</v>
      </c>
      <c r="R114" s="569"/>
      <c r="S114" s="782"/>
      <c r="T114" s="778"/>
      <c r="U114" s="493">
        <f>AE114</f>
        <v>0</v>
      </c>
      <c r="V114" s="493"/>
      <c r="W114" s="577">
        <f aca="true" t="shared" si="58" ref="W114:W124">SUM(Y114:AC114)</f>
        <v>0.0865</v>
      </c>
      <c r="X114" s="577">
        <f>Z114+AB114+AD114</f>
        <v>0.0859</v>
      </c>
      <c r="Y114" s="577">
        <f>AT114</f>
        <v>0.021599999999999998</v>
      </c>
      <c r="Z114" s="577">
        <v>0.05</v>
      </c>
      <c r="AA114" s="577">
        <f>AR114</f>
        <v>0</v>
      </c>
      <c r="AB114" s="577">
        <v>0.0149</v>
      </c>
      <c r="AC114" s="577">
        <f>AQ114</f>
        <v>0</v>
      </c>
      <c r="AD114" s="586">
        <v>0.021</v>
      </c>
      <c r="AE114" s="512">
        <f t="shared" si="35"/>
        <v>0</v>
      </c>
      <c r="AF114" s="520">
        <v>0</v>
      </c>
      <c r="AH114" s="512">
        <v>15234</v>
      </c>
      <c r="AJ114" s="513">
        <v>106.23302983559877</v>
      </c>
      <c r="AK114" s="514">
        <v>105.1948604625895</v>
      </c>
      <c r="AL114" s="513">
        <v>104.86113485125321</v>
      </c>
      <c r="AM114" s="512">
        <v>12</v>
      </c>
      <c r="AN114" s="512">
        <v>1000000</v>
      </c>
      <c r="AO114" s="512">
        <v>0.12</v>
      </c>
      <c r="AP114" s="523">
        <f t="shared" si="49"/>
        <v>0</v>
      </c>
      <c r="AQ114" s="523">
        <f t="shared" si="45"/>
        <v>0</v>
      </c>
      <c r="AR114" s="523">
        <f t="shared" si="46"/>
        <v>0</v>
      </c>
      <c r="AS114" s="512">
        <v>0.18</v>
      </c>
      <c r="AT114" s="523">
        <f t="shared" si="44"/>
        <v>0.021599999999999998</v>
      </c>
    </row>
    <row r="115" spans="1:46" ht="24.75" customHeight="1">
      <c r="A115" s="742"/>
      <c r="B115" s="769"/>
      <c r="C115" s="742"/>
      <c r="D115" s="489">
        <v>2014</v>
      </c>
      <c r="E115" s="578">
        <f t="shared" si="56"/>
        <v>1.7</v>
      </c>
      <c r="F115" s="578"/>
      <c r="G115" s="569">
        <v>0</v>
      </c>
      <c r="H115" s="586"/>
      <c r="I115" s="578">
        <v>0</v>
      </c>
      <c r="J115" s="578"/>
      <c r="K115" s="569">
        <v>0</v>
      </c>
      <c r="L115" s="569"/>
      <c r="M115" s="492">
        <v>1.7</v>
      </c>
      <c r="N115" s="687"/>
      <c r="O115" s="569">
        <v>0</v>
      </c>
      <c r="P115" s="569"/>
      <c r="Q115" s="569">
        <v>0</v>
      </c>
      <c r="R115" s="569"/>
      <c r="S115" s="782"/>
      <c r="T115" s="778"/>
      <c r="U115" s="493">
        <f>AE115</f>
        <v>2</v>
      </c>
      <c r="V115" s="493"/>
      <c r="W115" s="577">
        <f>SUM(Y115:AC115)</f>
        <v>0.22975310892346812</v>
      </c>
      <c r="X115" s="577"/>
      <c r="Y115" s="577">
        <f>AT115</f>
        <v>0.18359999999999999</v>
      </c>
      <c r="Z115" s="577"/>
      <c r="AA115" s="577">
        <f>AR115</f>
        <v>0.025019600347412085</v>
      </c>
      <c r="AB115" s="577"/>
      <c r="AC115" s="577">
        <f>AQ115</f>
        <v>0.021133508576056063</v>
      </c>
      <c r="AD115" s="700"/>
      <c r="AE115" s="512">
        <f t="shared" si="35"/>
        <v>2</v>
      </c>
      <c r="AF115" s="520">
        <v>2</v>
      </c>
      <c r="AH115" s="512">
        <v>15234</v>
      </c>
      <c r="AJ115" s="513">
        <v>106.23302983559877</v>
      </c>
      <c r="AK115" s="514">
        <v>105.1948604625895</v>
      </c>
      <c r="AL115" s="513">
        <v>104.86113485125321</v>
      </c>
      <c r="AM115" s="512">
        <v>12</v>
      </c>
      <c r="AN115" s="512">
        <v>1000000</v>
      </c>
      <c r="AO115" s="512">
        <v>0.12</v>
      </c>
      <c r="AP115" s="523">
        <f>AE115*AH115*AK115%*AM115/AN115*AO115</f>
        <v>0.04615310892346815</v>
      </c>
      <c r="AQ115" s="523">
        <f t="shared" si="45"/>
        <v>0.021133508576056063</v>
      </c>
      <c r="AR115" s="523">
        <f t="shared" si="46"/>
        <v>0.025019600347412085</v>
      </c>
      <c r="AS115" s="512">
        <v>0.18</v>
      </c>
      <c r="AT115" s="523">
        <f t="shared" si="44"/>
        <v>0.18359999999999999</v>
      </c>
    </row>
    <row r="116" spans="1:46" s="644" customFormat="1" ht="24.75" customHeight="1">
      <c r="A116" s="742"/>
      <c r="B116" s="770"/>
      <c r="C116" s="742"/>
      <c r="D116" s="633">
        <v>2015</v>
      </c>
      <c r="E116" s="650">
        <v>0.4</v>
      </c>
      <c r="F116" s="650">
        <v>0.075</v>
      </c>
      <c r="G116" s="634">
        <v>0</v>
      </c>
      <c r="H116" s="667"/>
      <c r="I116" s="650">
        <v>0</v>
      </c>
      <c r="J116" s="650"/>
      <c r="K116" s="634">
        <v>0</v>
      </c>
      <c r="L116" s="634"/>
      <c r="M116" s="635">
        <v>0.4</v>
      </c>
      <c r="N116" s="661">
        <v>0.075</v>
      </c>
      <c r="O116" s="634">
        <v>0</v>
      </c>
      <c r="P116" s="634"/>
      <c r="Q116" s="634">
        <v>0</v>
      </c>
      <c r="R116" s="634"/>
      <c r="S116" s="782"/>
      <c r="T116" s="778"/>
      <c r="U116" s="637">
        <f>AE116</f>
        <v>0</v>
      </c>
      <c r="V116" s="645" t="s">
        <v>543</v>
      </c>
      <c r="W116" s="646">
        <f t="shared" si="58"/>
        <v>0.043199999999999995</v>
      </c>
      <c r="X116" s="646"/>
      <c r="Y116" s="646">
        <f>AT116</f>
        <v>0.043199999999999995</v>
      </c>
      <c r="Z116" s="646"/>
      <c r="AA116" s="646">
        <f>AR116</f>
        <v>0</v>
      </c>
      <c r="AB116" s="646"/>
      <c r="AC116" s="646">
        <f>AQ116</f>
        <v>0</v>
      </c>
      <c r="AD116" s="701"/>
      <c r="AE116" s="638">
        <f t="shared" si="35"/>
        <v>0</v>
      </c>
      <c r="AF116" s="639">
        <v>0</v>
      </c>
      <c r="AG116" s="638"/>
      <c r="AH116" s="638">
        <v>15234</v>
      </c>
      <c r="AI116" s="638"/>
      <c r="AJ116" s="641">
        <v>106.23302983559877</v>
      </c>
      <c r="AK116" s="642">
        <v>105.1948604625895</v>
      </c>
      <c r="AL116" s="641">
        <v>104.86113485125321</v>
      </c>
      <c r="AM116" s="638">
        <v>12</v>
      </c>
      <c r="AN116" s="638">
        <v>1000000</v>
      </c>
      <c r="AO116" s="638">
        <v>0.12</v>
      </c>
      <c r="AP116" s="643">
        <f t="shared" si="49"/>
        <v>0</v>
      </c>
      <c r="AQ116" s="643">
        <f t="shared" si="45"/>
        <v>0</v>
      </c>
      <c r="AR116" s="643">
        <f t="shared" si="46"/>
        <v>0</v>
      </c>
      <c r="AS116" s="638">
        <v>0.18</v>
      </c>
      <c r="AT116" s="643">
        <f t="shared" si="44"/>
        <v>0.043199999999999995</v>
      </c>
    </row>
    <row r="117" spans="1:64" s="535" customFormat="1" ht="21" customHeight="1">
      <c r="A117" s="742">
        <v>4</v>
      </c>
      <c r="B117" s="742" t="s">
        <v>598</v>
      </c>
      <c r="C117" s="742" t="s">
        <v>422</v>
      </c>
      <c r="D117" s="489" t="s">
        <v>341</v>
      </c>
      <c r="E117" s="578">
        <f t="shared" si="56"/>
        <v>78</v>
      </c>
      <c r="F117" s="578"/>
      <c r="G117" s="569">
        <f aca="true" t="shared" si="59" ref="G117:Q117">SUM(G118:G120)</f>
        <v>0</v>
      </c>
      <c r="H117" s="586"/>
      <c r="I117" s="578">
        <f t="shared" si="59"/>
        <v>0</v>
      </c>
      <c r="J117" s="578"/>
      <c r="K117" s="569">
        <f t="shared" si="59"/>
        <v>0</v>
      </c>
      <c r="L117" s="569"/>
      <c r="M117" s="569">
        <f t="shared" si="59"/>
        <v>0</v>
      </c>
      <c r="N117" s="586"/>
      <c r="O117" s="569">
        <f t="shared" si="59"/>
        <v>78</v>
      </c>
      <c r="P117" s="569"/>
      <c r="Q117" s="569">
        <f t="shared" si="59"/>
        <v>0</v>
      </c>
      <c r="R117" s="569"/>
      <c r="S117" s="782" t="s">
        <v>19</v>
      </c>
      <c r="T117" s="788" t="s">
        <v>523</v>
      </c>
      <c r="U117" s="493">
        <f>SUM(U118:U120)</f>
        <v>60</v>
      </c>
      <c r="V117" s="493"/>
      <c r="W117" s="577">
        <f t="shared" si="58"/>
        <v>9.431902124398299</v>
      </c>
      <c r="X117" s="577"/>
      <c r="Y117" s="577">
        <f>SUM(Y118:Y120)</f>
        <v>8.424</v>
      </c>
      <c r="Z117" s="577"/>
      <c r="AA117" s="577">
        <f>SUM(AA118:AA120)</f>
        <v>0.546383741636318</v>
      </c>
      <c r="AB117" s="577"/>
      <c r="AC117" s="577">
        <f>SUM(AC118:AC120)</f>
        <v>0.4615183827619812</v>
      </c>
      <c r="AD117" s="622"/>
      <c r="AE117" s="512"/>
      <c r="AF117" s="520"/>
      <c r="AG117" s="534"/>
      <c r="AH117" s="512">
        <v>11035</v>
      </c>
      <c r="AI117" s="512"/>
      <c r="AJ117" s="513">
        <v>106.23302983559877</v>
      </c>
      <c r="AK117" s="514">
        <v>105.1948604625895</v>
      </c>
      <c r="AL117" s="513">
        <v>104.86113485125321</v>
      </c>
      <c r="AM117" s="512">
        <v>12</v>
      </c>
      <c r="AN117" s="512">
        <v>1000000</v>
      </c>
      <c r="AO117" s="512">
        <v>0.12</v>
      </c>
      <c r="AP117" s="523">
        <f t="shared" si="49"/>
        <v>0</v>
      </c>
      <c r="AQ117" s="523">
        <f t="shared" si="45"/>
        <v>0</v>
      </c>
      <c r="AR117" s="523">
        <f t="shared" si="46"/>
        <v>0</v>
      </c>
      <c r="AS117" s="512">
        <v>0.18</v>
      </c>
      <c r="AT117" s="523">
        <f t="shared" si="44"/>
        <v>8.424</v>
      </c>
      <c r="BC117" s="536"/>
      <c r="BD117" s="536"/>
      <c r="BE117" s="536"/>
      <c r="BF117" s="536"/>
      <c r="BG117" s="537"/>
      <c r="BH117" s="537"/>
      <c r="BJ117" s="538"/>
      <c r="BK117" s="538"/>
      <c r="BL117" s="539"/>
    </row>
    <row r="118" spans="1:64" s="535" customFormat="1" ht="21" customHeight="1">
      <c r="A118" s="742"/>
      <c r="B118" s="742"/>
      <c r="C118" s="742"/>
      <c r="D118" s="489">
        <v>2013</v>
      </c>
      <c r="E118" s="578">
        <f t="shared" si="56"/>
        <v>25</v>
      </c>
      <c r="F118" s="578"/>
      <c r="G118" s="569">
        <v>0</v>
      </c>
      <c r="H118" s="586"/>
      <c r="I118" s="578">
        <v>0</v>
      </c>
      <c r="J118" s="578"/>
      <c r="K118" s="569">
        <v>0</v>
      </c>
      <c r="L118" s="569"/>
      <c r="M118" s="569">
        <v>0</v>
      </c>
      <c r="N118" s="586"/>
      <c r="O118" s="492">
        <v>25</v>
      </c>
      <c r="P118" s="492"/>
      <c r="Q118" s="569">
        <v>0</v>
      </c>
      <c r="R118" s="569"/>
      <c r="S118" s="782"/>
      <c r="T118" s="788"/>
      <c r="U118" s="493">
        <f>AE118</f>
        <v>30</v>
      </c>
      <c r="V118" s="493"/>
      <c r="W118" s="577">
        <f t="shared" si="58"/>
        <v>3.2064256011898795</v>
      </c>
      <c r="X118" s="577"/>
      <c r="Y118" s="577">
        <f>AT118</f>
        <v>2.6999999999999997</v>
      </c>
      <c r="Z118" s="577"/>
      <c r="AA118" s="577">
        <f>AR118</f>
        <v>0.2745333184050337</v>
      </c>
      <c r="AB118" s="577"/>
      <c r="AC118" s="577">
        <f>AQ118</f>
        <v>0.23189228278484583</v>
      </c>
      <c r="AD118" s="622"/>
      <c r="AE118" s="512">
        <f t="shared" si="35"/>
        <v>30</v>
      </c>
      <c r="AF118" s="540">
        <v>30</v>
      </c>
      <c r="AG118" s="534"/>
      <c r="AH118" s="512">
        <v>11035</v>
      </c>
      <c r="AI118" s="512"/>
      <c r="AJ118" s="513">
        <v>106.23302983559877</v>
      </c>
      <c r="AK118" s="514">
        <v>105.1948604625895</v>
      </c>
      <c r="AL118" s="513">
        <v>104.86113485125321</v>
      </c>
      <c r="AM118" s="512">
        <v>12</v>
      </c>
      <c r="AN118" s="512">
        <v>1000000</v>
      </c>
      <c r="AO118" s="512">
        <v>0.12</v>
      </c>
      <c r="AP118" s="523">
        <f t="shared" si="49"/>
        <v>0.5064256011898796</v>
      </c>
      <c r="AQ118" s="523">
        <f t="shared" si="45"/>
        <v>0.23189228278484583</v>
      </c>
      <c r="AR118" s="523">
        <f t="shared" si="46"/>
        <v>0.2745333184050337</v>
      </c>
      <c r="AS118" s="512">
        <v>0.18</v>
      </c>
      <c r="AT118" s="523">
        <f t="shared" si="44"/>
        <v>2.6999999999999997</v>
      </c>
      <c r="BC118" s="536"/>
      <c r="BD118" s="536"/>
      <c r="BE118" s="536"/>
      <c r="BF118" s="536"/>
      <c r="BG118" s="537"/>
      <c r="BH118" s="537"/>
      <c r="BJ118" s="538"/>
      <c r="BK118" s="538"/>
      <c r="BL118" s="539"/>
    </row>
    <row r="119" spans="1:64" s="535" customFormat="1" ht="21" customHeight="1">
      <c r="A119" s="742"/>
      <c r="B119" s="742"/>
      <c r="C119" s="742"/>
      <c r="D119" s="489">
        <v>2014</v>
      </c>
      <c r="E119" s="578">
        <f t="shared" si="56"/>
        <v>25</v>
      </c>
      <c r="F119" s="578"/>
      <c r="G119" s="569">
        <v>0</v>
      </c>
      <c r="H119" s="586"/>
      <c r="I119" s="578">
        <v>0</v>
      </c>
      <c r="J119" s="578"/>
      <c r="K119" s="569">
        <v>0</v>
      </c>
      <c r="L119" s="569"/>
      <c r="M119" s="569">
        <v>0</v>
      </c>
      <c r="N119" s="586"/>
      <c r="O119" s="492">
        <v>25</v>
      </c>
      <c r="P119" s="492"/>
      <c r="Q119" s="569">
        <v>0</v>
      </c>
      <c r="R119" s="569"/>
      <c r="S119" s="782"/>
      <c r="T119" s="788"/>
      <c r="U119" s="493">
        <f>AE119</f>
        <v>30</v>
      </c>
      <c r="V119" s="493"/>
      <c r="W119" s="577">
        <f t="shared" si="58"/>
        <v>3.2014765232084192</v>
      </c>
      <c r="X119" s="577"/>
      <c r="Y119" s="577">
        <f>AT119</f>
        <v>2.6999999999999997</v>
      </c>
      <c r="Z119" s="577"/>
      <c r="AA119" s="577">
        <f>AR119</f>
        <v>0.2718504232312843</v>
      </c>
      <c r="AB119" s="577"/>
      <c r="AC119" s="577">
        <f>AQ119</f>
        <v>0.22962609997713535</v>
      </c>
      <c r="AD119" s="622"/>
      <c r="AE119" s="512">
        <f t="shared" si="35"/>
        <v>30</v>
      </c>
      <c r="AF119" s="540">
        <v>30</v>
      </c>
      <c r="AG119" s="534"/>
      <c r="AH119" s="512">
        <v>11035</v>
      </c>
      <c r="AI119" s="512"/>
      <c r="AJ119" s="513">
        <v>106.23302983559877</v>
      </c>
      <c r="AK119" s="514">
        <v>105.1948604625895</v>
      </c>
      <c r="AL119" s="513">
        <v>104.86113485125321</v>
      </c>
      <c r="AM119" s="512">
        <v>12</v>
      </c>
      <c r="AN119" s="512">
        <v>1000000</v>
      </c>
      <c r="AO119" s="512">
        <v>0.12</v>
      </c>
      <c r="AP119" s="523">
        <f>AE119*AH119*AK119%*AM119/AN119*AO119</f>
        <v>0.5014765232084196</v>
      </c>
      <c r="AQ119" s="523">
        <f t="shared" si="45"/>
        <v>0.22962609997713535</v>
      </c>
      <c r="AR119" s="523">
        <f t="shared" si="46"/>
        <v>0.2718504232312843</v>
      </c>
      <c r="AS119" s="512">
        <v>0.18</v>
      </c>
      <c r="AT119" s="523">
        <f t="shared" si="44"/>
        <v>2.6999999999999997</v>
      </c>
      <c r="BC119" s="536"/>
      <c r="BD119" s="536"/>
      <c r="BE119" s="536"/>
      <c r="BF119" s="536"/>
      <c r="BG119" s="537"/>
      <c r="BH119" s="537"/>
      <c r="BJ119" s="538"/>
      <c r="BK119" s="538"/>
      <c r="BL119" s="539"/>
    </row>
    <row r="120" spans="1:64" s="670" customFormat="1" ht="21" customHeight="1">
      <c r="A120" s="742"/>
      <c r="B120" s="742"/>
      <c r="C120" s="742"/>
      <c r="D120" s="633">
        <v>2015</v>
      </c>
      <c r="E120" s="650">
        <v>28</v>
      </c>
      <c r="F120" s="650">
        <v>3.5</v>
      </c>
      <c r="G120" s="634">
        <v>0</v>
      </c>
      <c r="H120" s="667"/>
      <c r="I120" s="650">
        <v>0</v>
      </c>
      <c r="J120" s="650"/>
      <c r="K120" s="634">
        <v>0</v>
      </c>
      <c r="L120" s="634"/>
      <c r="M120" s="634">
        <v>0</v>
      </c>
      <c r="N120" s="667">
        <v>3.5</v>
      </c>
      <c r="O120" s="635">
        <v>28</v>
      </c>
      <c r="P120" s="635"/>
      <c r="Q120" s="634">
        <v>0</v>
      </c>
      <c r="R120" s="634"/>
      <c r="S120" s="782"/>
      <c r="T120" s="788"/>
      <c r="U120" s="637">
        <f>AE120</f>
        <v>0</v>
      </c>
      <c r="V120" s="637">
        <v>7</v>
      </c>
      <c r="W120" s="646">
        <f t="shared" si="58"/>
        <v>3.024</v>
      </c>
      <c r="X120" s="646"/>
      <c r="Y120" s="646">
        <f>AT120</f>
        <v>3.024</v>
      </c>
      <c r="Z120" s="646"/>
      <c r="AA120" s="646">
        <f>AR120</f>
        <v>0</v>
      </c>
      <c r="AB120" s="646"/>
      <c r="AC120" s="646">
        <f>AQ120</f>
        <v>0</v>
      </c>
      <c r="AD120" s="661"/>
      <c r="AE120" s="638">
        <f t="shared" si="35"/>
        <v>0</v>
      </c>
      <c r="AF120" s="659">
        <v>0</v>
      </c>
      <c r="AG120" s="669"/>
      <c r="AH120" s="638">
        <v>11035</v>
      </c>
      <c r="AI120" s="638"/>
      <c r="AJ120" s="641">
        <v>106.23302983559877</v>
      </c>
      <c r="AK120" s="642">
        <v>105.1948604625895</v>
      </c>
      <c r="AL120" s="641">
        <v>104.86113485125321</v>
      </c>
      <c r="AM120" s="638">
        <v>12</v>
      </c>
      <c r="AN120" s="638">
        <v>1000000</v>
      </c>
      <c r="AO120" s="638">
        <v>0.12</v>
      </c>
      <c r="AP120" s="643">
        <f t="shared" si="49"/>
        <v>0</v>
      </c>
      <c r="AQ120" s="643">
        <f t="shared" si="45"/>
        <v>0</v>
      </c>
      <c r="AR120" s="643">
        <f t="shared" si="46"/>
        <v>0</v>
      </c>
      <c r="AS120" s="638">
        <v>0.18</v>
      </c>
      <c r="AT120" s="643">
        <f t="shared" si="44"/>
        <v>3.024</v>
      </c>
      <c r="BC120" s="671"/>
      <c r="BD120" s="671"/>
      <c r="BE120" s="671"/>
      <c r="BF120" s="671"/>
      <c r="BG120" s="672"/>
      <c r="BH120" s="672"/>
      <c r="BJ120" s="673"/>
      <c r="BK120" s="673"/>
      <c r="BL120" s="674"/>
    </row>
    <row r="121" spans="1:64" s="535" customFormat="1" ht="18.75" customHeight="1">
      <c r="A121" s="742">
        <v>5</v>
      </c>
      <c r="B121" s="742" t="s">
        <v>596</v>
      </c>
      <c r="C121" s="742" t="s">
        <v>420</v>
      </c>
      <c r="D121" s="489" t="s">
        <v>341</v>
      </c>
      <c r="E121" s="578">
        <f t="shared" si="56"/>
        <v>25</v>
      </c>
      <c r="F121" s="578"/>
      <c r="G121" s="569">
        <f aca="true" t="shared" si="60" ref="G121:Q121">SUM(G122:G124)</f>
        <v>0</v>
      </c>
      <c r="H121" s="586"/>
      <c r="I121" s="578">
        <f t="shared" si="60"/>
        <v>0</v>
      </c>
      <c r="J121" s="578"/>
      <c r="K121" s="569">
        <f t="shared" si="60"/>
        <v>0</v>
      </c>
      <c r="L121" s="569"/>
      <c r="M121" s="569">
        <f t="shared" si="60"/>
        <v>8</v>
      </c>
      <c r="N121" s="586"/>
      <c r="O121" s="569">
        <f t="shared" si="60"/>
        <v>17</v>
      </c>
      <c r="P121" s="569"/>
      <c r="Q121" s="569">
        <f t="shared" si="60"/>
        <v>0</v>
      </c>
      <c r="R121" s="569"/>
      <c r="S121" s="782" t="s">
        <v>525</v>
      </c>
      <c r="T121" s="788" t="s">
        <v>321</v>
      </c>
      <c r="U121" s="493">
        <f>SUM(U122:U124)</f>
        <v>20</v>
      </c>
      <c r="V121" s="493"/>
      <c r="W121" s="577">
        <f t="shared" si="58"/>
        <v>3.0359673747994327</v>
      </c>
      <c r="X121" s="577"/>
      <c r="Y121" s="577">
        <f>SUM(Y122:Y124)</f>
        <v>2.6999999999999997</v>
      </c>
      <c r="Z121" s="577"/>
      <c r="AA121" s="577">
        <f>SUM(AA122:AA124)</f>
        <v>0.1821279138787727</v>
      </c>
      <c r="AB121" s="577"/>
      <c r="AC121" s="577">
        <f>SUM(AC122:AC124)</f>
        <v>0.1538394609206604</v>
      </c>
      <c r="AD121" s="622"/>
      <c r="AE121" s="512"/>
      <c r="AF121" s="520"/>
      <c r="AG121" s="534"/>
      <c r="AH121" s="512">
        <v>11035</v>
      </c>
      <c r="AI121" s="512"/>
      <c r="AJ121" s="513">
        <v>106.23302983559877</v>
      </c>
      <c r="AK121" s="514">
        <v>105.1948604625895</v>
      </c>
      <c r="AL121" s="513">
        <v>104.86113485125321</v>
      </c>
      <c r="AM121" s="512">
        <v>12</v>
      </c>
      <c r="AN121" s="512">
        <v>1000000</v>
      </c>
      <c r="AO121" s="512">
        <v>0.12</v>
      </c>
      <c r="AP121" s="523">
        <f t="shared" si="49"/>
        <v>0</v>
      </c>
      <c r="AQ121" s="523">
        <f t="shared" si="45"/>
        <v>0</v>
      </c>
      <c r="AR121" s="523">
        <f t="shared" si="46"/>
        <v>0</v>
      </c>
      <c r="AS121" s="512">
        <v>0.18</v>
      </c>
      <c r="AT121" s="523">
        <f t="shared" si="44"/>
        <v>2.6999999999999997</v>
      </c>
      <c r="BC121" s="536"/>
      <c r="BD121" s="536"/>
      <c r="BE121" s="536"/>
      <c r="BF121" s="536"/>
      <c r="BG121" s="537"/>
      <c r="BH121" s="537"/>
      <c r="BJ121" s="538"/>
      <c r="BK121" s="538"/>
      <c r="BL121" s="539"/>
    </row>
    <row r="122" spans="1:64" s="535" customFormat="1" ht="18.75" customHeight="1">
      <c r="A122" s="742"/>
      <c r="B122" s="742"/>
      <c r="C122" s="742"/>
      <c r="D122" s="489">
        <v>2013</v>
      </c>
      <c r="E122" s="578">
        <f>G122+I122+K122+M122+O122+Q122</f>
        <v>12.5</v>
      </c>
      <c r="F122" s="578"/>
      <c r="G122" s="569">
        <v>0</v>
      </c>
      <c r="H122" s="586"/>
      <c r="I122" s="578">
        <v>0</v>
      </c>
      <c r="J122" s="578"/>
      <c r="K122" s="569">
        <v>0</v>
      </c>
      <c r="L122" s="569"/>
      <c r="M122" s="492">
        <v>4</v>
      </c>
      <c r="N122" s="622"/>
      <c r="O122" s="492">
        <v>8.5</v>
      </c>
      <c r="P122" s="492"/>
      <c r="Q122" s="569">
        <v>0</v>
      </c>
      <c r="R122" s="569"/>
      <c r="S122" s="782"/>
      <c r="T122" s="788"/>
      <c r="U122" s="493">
        <f>AE122</f>
        <v>10</v>
      </c>
      <c r="V122" s="493"/>
      <c r="W122" s="577">
        <f t="shared" si="58"/>
        <v>1.5188085337299597</v>
      </c>
      <c r="X122" s="577"/>
      <c r="Y122" s="577">
        <f>AT122</f>
        <v>1.3499999999999999</v>
      </c>
      <c r="Z122" s="577"/>
      <c r="AA122" s="577">
        <f>AR122</f>
        <v>0.09151110613501125</v>
      </c>
      <c r="AB122" s="577"/>
      <c r="AC122" s="577">
        <f>AQ122</f>
        <v>0.0772974275949486</v>
      </c>
      <c r="AD122" s="622"/>
      <c r="AE122" s="512">
        <f t="shared" si="35"/>
        <v>10</v>
      </c>
      <c r="AF122" s="540">
        <v>10</v>
      </c>
      <c r="AG122" s="534"/>
      <c r="AH122" s="512">
        <v>11035</v>
      </c>
      <c r="AI122" s="512"/>
      <c r="AJ122" s="513">
        <v>106.23302983559877</v>
      </c>
      <c r="AK122" s="514">
        <v>105.1948604625895</v>
      </c>
      <c r="AL122" s="513">
        <v>104.86113485125321</v>
      </c>
      <c r="AM122" s="512">
        <v>12</v>
      </c>
      <c r="AN122" s="512">
        <v>1000000</v>
      </c>
      <c r="AO122" s="512">
        <v>0.12</v>
      </c>
      <c r="AP122" s="523">
        <f t="shared" si="49"/>
        <v>0.16880853372995985</v>
      </c>
      <c r="AQ122" s="523">
        <f t="shared" si="45"/>
        <v>0.0772974275949486</v>
      </c>
      <c r="AR122" s="523">
        <f t="shared" si="46"/>
        <v>0.09151110613501125</v>
      </c>
      <c r="AS122" s="512">
        <v>0.18</v>
      </c>
      <c r="AT122" s="523">
        <f t="shared" si="44"/>
        <v>1.3499999999999999</v>
      </c>
      <c r="BC122" s="536"/>
      <c r="BD122" s="536"/>
      <c r="BE122" s="536"/>
      <c r="BF122" s="536"/>
      <c r="BG122" s="537"/>
      <c r="BH122" s="537"/>
      <c r="BJ122" s="538"/>
      <c r="BK122" s="538"/>
      <c r="BL122" s="539"/>
    </row>
    <row r="123" spans="1:64" s="535" customFormat="1" ht="18.75" customHeight="1">
      <c r="A123" s="742"/>
      <c r="B123" s="742"/>
      <c r="C123" s="742"/>
      <c r="D123" s="489">
        <v>2014</v>
      </c>
      <c r="E123" s="578">
        <f t="shared" si="56"/>
        <v>12.5</v>
      </c>
      <c r="F123" s="578"/>
      <c r="G123" s="569">
        <v>0</v>
      </c>
      <c r="H123" s="586"/>
      <c r="I123" s="578">
        <v>0</v>
      </c>
      <c r="J123" s="578"/>
      <c r="K123" s="569">
        <v>0</v>
      </c>
      <c r="L123" s="569"/>
      <c r="M123" s="492">
        <v>4</v>
      </c>
      <c r="N123" s="622"/>
      <c r="O123" s="492">
        <v>8.5</v>
      </c>
      <c r="P123" s="492"/>
      <c r="Q123" s="569">
        <v>0</v>
      </c>
      <c r="R123" s="569"/>
      <c r="S123" s="782"/>
      <c r="T123" s="788"/>
      <c r="U123" s="493">
        <f>AE123</f>
        <v>10</v>
      </c>
      <c r="V123" s="493"/>
      <c r="W123" s="577">
        <f t="shared" si="58"/>
        <v>1.5171588410694732</v>
      </c>
      <c r="X123" s="577">
        <v>0.009</v>
      </c>
      <c r="Y123" s="577">
        <f>AT123</f>
        <v>1.3499999999999999</v>
      </c>
      <c r="Z123" s="577"/>
      <c r="AA123" s="577">
        <f>AR123</f>
        <v>0.09061680774376145</v>
      </c>
      <c r="AB123" s="577"/>
      <c r="AC123" s="577">
        <f>AQ123</f>
        <v>0.07654203332571179</v>
      </c>
      <c r="AD123" s="622">
        <v>0.009</v>
      </c>
      <c r="AE123" s="512">
        <f t="shared" si="35"/>
        <v>10</v>
      </c>
      <c r="AF123" s="540">
        <v>10</v>
      </c>
      <c r="AG123" s="534"/>
      <c r="AH123" s="512">
        <v>11035</v>
      </c>
      <c r="AI123" s="512"/>
      <c r="AJ123" s="513">
        <v>106.23302983559877</v>
      </c>
      <c r="AK123" s="514">
        <v>105.1948604625895</v>
      </c>
      <c r="AL123" s="513">
        <v>104.86113485125321</v>
      </c>
      <c r="AM123" s="512">
        <v>12</v>
      </c>
      <c r="AN123" s="512">
        <v>1000000</v>
      </c>
      <c r="AO123" s="512">
        <v>0.12</v>
      </c>
      <c r="AP123" s="523">
        <f>AE123*AH123*AK123%*AM123/AN123*AO123</f>
        <v>0.16715884106947324</v>
      </c>
      <c r="AQ123" s="523">
        <f t="shared" si="45"/>
        <v>0.07654203332571179</v>
      </c>
      <c r="AR123" s="523">
        <f t="shared" si="46"/>
        <v>0.09061680774376145</v>
      </c>
      <c r="AS123" s="512">
        <v>0.18</v>
      </c>
      <c r="AT123" s="523">
        <f t="shared" si="44"/>
        <v>1.3499999999999999</v>
      </c>
      <c r="BC123" s="536"/>
      <c r="BD123" s="536"/>
      <c r="BE123" s="536"/>
      <c r="BF123" s="536"/>
      <c r="BG123" s="537"/>
      <c r="BH123" s="537"/>
      <c r="BJ123" s="538"/>
      <c r="BK123" s="538"/>
      <c r="BL123" s="539"/>
    </row>
    <row r="124" spans="1:64" s="535" customFormat="1" ht="18.75" customHeight="1">
      <c r="A124" s="742"/>
      <c r="B124" s="742"/>
      <c r="C124" s="742"/>
      <c r="D124" s="489">
        <v>2015</v>
      </c>
      <c r="E124" s="578">
        <f t="shared" si="56"/>
        <v>0</v>
      </c>
      <c r="F124" s="578">
        <v>0</v>
      </c>
      <c r="G124" s="569">
        <v>0</v>
      </c>
      <c r="H124" s="586"/>
      <c r="I124" s="578">
        <v>0</v>
      </c>
      <c r="J124" s="578"/>
      <c r="K124" s="569">
        <v>0</v>
      </c>
      <c r="L124" s="569"/>
      <c r="M124" s="569">
        <v>0</v>
      </c>
      <c r="N124" s="586">
        <v>0</v>
      </c>
      <c r="O124" s="569">
        <v>0</v>
      </c>
      <c r="P124" s="569"/>
      <c r="Q124" s="569">
        <v>0</v>
      </c>
      <c r="R124" s="569"/>
      <c r="S124" s="782"/>
      <c r="T124" s="788"/>
      <c r="U124" s="493">
        <f>AE124</f>
        <v>0</v>
      </c>
      <c r="V124" s="493"/>
      <c r="W124" s="577">
        <f t="shared" si="58"/>
        <v>0</v>
      </c>
      <c r="X124" s="577"/>
      <c r="Y124" s="577">
        <f>AT124</f>
        <v>0</v>
      </c>
      <c r="Z124" s="577"/>
      <c r="AA124" s="577">
        <f>AR124</f>
        <v>0</v>
      </c>
      <c r="AB124" s="577"/>
      <c r="AC124" s="577">
        <f>AQ124</f>
        <v>0</v>
      </c>
      <c r="AD124" s="622"/>
      <c r="AE124" s="512">
        <f t="shared" si="35"/>
        <v>0</v>
      </c>
      <c r="AF124" s="540">
        <v>0</v>
      </c>
      <c r="AG124" s="534"/>
      <c r="AH124" s="512">
        <v>11035</v>
      </c>
      <c r="AI124" s="512"/>
      <c r="AJ124" s="513">
        <v>106.23302983559877</v>
      </c>
      <c r="AK124" s="514">
        <v>105.1948604625895</v>
      </c>
      <c r="AL124" s="513">
        <v>104.86113485125321</v>
      </c>
      <c r="AM124" s="512">
        <v>12</v>
      </c>
      <c r="AN124" s="512">
        <v>1000000</v>
      </c>
      <c r="AO124" s="512">
        <v>0.12</v>
      </c>
      <c r="AP124" s="523">
        <f t="shared" si="49"/>
        <v>0</v>
      </c>
      <c r="AQ124" s="523">
        <f t="shared" si="45"/>
        <v>0</v>
      </c>
      <c r="AR124" s="523">
        <f t="shared" si="46"/>
        <v>0</v>
      </c>
      <c r="AS124" s="512">
        <v>0.18</v>
      </c>
      <c r="AT124" s="523">
        <f t="shared" si="44"/>
        <v>0</v>
      </c>
      <c r="BC124" s="536"/>
      <c r="BD124" s="536"/>
      <c r="BE124" s="536"/>
      <c r="BF124" s="536"/>
      <c r="BG124" s="537"/>
      <c r="BH124" s="537"/>
      <c r="BJ124" s="538"/>
      <c r="BK124" s="538"/>
      <c r="BL124" s="539"/>
    </row>
    <row r="125" spans="1:64" s="535" customFormat="1" ht="28.5" customHeight="1">
      <c r="A125" s="742">
        <v>6</v>
      </c>
      <c r="B125" s="742" t="s">
        <v>595</v>
      </c>
      <c r="C125" s="742" t="s">
        <v>23</v>
      </c>
      <c r="D125" s="489" t="s">
        <v>341</v>
      </c>
      <c r="E125" s="578">
        <f t="shared" si="56"/>
        <v>4</v>
      </c>
      <c r="F125" s="578"/>
      <c r="G125" s="569">
        <f aca="true" t="shared" si="61" ref="G125:Q125">SUM(G126:G128)</f>
        <v>0</v>
      </c>
      <c r="H125" s="586"/>
      <c r="I125" s="578">
        <f t="shared" si="61"/>
        <v>0</v>
      </c>
      <c r="J125" s="578"/>
      <c r="K125" s="569">
        <f t="shared" si="61"/>
        <v>0</v>
      </c>
      <c r="L125" s="569"/>
      <c r="M125" s="569">
        <f t="shared" si="61"/>
        <v>4</v>
      </c>
      <c r="N125" s="586"/>
      <c r="O125" s="569">
        <f t="shared" si="61"/>
        <v>0</v>
      </c>
      <c r="P125" s="569"/>
      <c r="Q125" s="569">
        <f t="shared" si="61"/>
        <v>0</v>
      </c>
      <c r="R125" s="569"/>
      <c r="S125" s="782" t="s">
        <v>21</v>
      </c>
      <c r="T125" s="788" t="s">
        <v>850</v>
      </c>
      <c r="U125" s="493">
        <f>SUM(U126:U128)</f>
        <v>4</v>
      </c>
      <c r="V125" s="493"/>
      <c r="W125" s="577">
        <f>SUM(Y125:AC125)</f>
        <v>0.49881050609324545</v>
      </c>
      <c r="X125" s="577"/>
      <c r="Y125" s="577">
        <f>SUM(Y126:Y128)</f>
        <v>0.432</v>
      </c>
      <c r="Z125" s="577"/>
      <c r="AA125" s="577">
        <f>SUM(AA126:AA128)</f>
        <v>0.036217975353148385</v>
      </c>
      <c r="AB125" s="577"/>
      <c r="AC125" s="577">
        <f>SUM(AC126:AC128)</f>
        <v>0.030592530740097112</v>
      </c>
      <c r="AD125" s="622"/>
      <c r="AE125" s="512"/>
      <c r="AF125" s="520"/>
      <c r="AG125" s="534"/>
      <c r="AH125" s="512">
        <v>11035</v>
      </c>
      <c r="AI125" s="512"/>
      <c r="AJ125" s="513">
        <v>106.23302983559877</v>
      </c>
      <c r="AK125" s="514">
        <v>105.1948604625895</v>
      </c>
      <c r="AL125" s="513">
        <v>104.86113485125321</v>
      </c>
      <c r="AM125" s="512">
        <v>12</v>
      </c>
      <c r="AN125" s="512">
        <v>1000000</v>
      </c>
      <c r="AO125" s="512">
        <v>0.12</v>
      </c>
      <c r="AP125" s="523">
        <f t="shared" si="49"/>
        <v>0</v>
      </c>
      <c r="AQ125" s="523">
        <f t="shared" si="45"/>
        <v>0</v>
      </c>
      <c r="AR125" s="523">
        <f t="shared" si="46"/>
        <v>0</v>
      </c>
      <c r="AS125" s="512">
        <v>0.18</v>
      </c>
      <c r="AT125" s="523">
        <f t="shared" si="44"/>
        <v>0.432</v>
      </c>
      <c r="BC125" s="536"/>
      <c r="BD125" s="536"/>
      <c r="BE125" s="536"/>
      <c r="BF125" s="536"/>
      <c r="BG125" s="537"/>
      <c r="BH125" s="537"/>
      <c r="BJ125" s="538"/>
      <c r="BK125" s="538"/>
      <c r="BL125" s="539"/>
    </row>
    <row r="126" spans="1:64" s="535" customFormat="1" ht="28.5" customHeight="1">
      <c r="A126" s="742"/>
      <c r="B126" s="742"/>
      <c r="C126" s="742"/>
      <c r="D126" s="489">
        <v>2013</v>
      </c>
      <c r="E126" s="578">
        <f>G126+I126+K126+M126</f>
        <v>2</v>
      </c>
      <c r="F126" s="578">
        <v>0.675</v>
      </c>
      <c r="G126" s="569">
        <v>0</v>
      </c>
      <c r="H126" s="586"/>
      <c r="I126" s="578">
        <v>0</v>
      </c>
      <c r="J126" s="578"/>
      <c r="K126" s="569">
        <v>0</v>
      </c>
      <c r="L126" s="569"/>
      <c r="M126" s="569">
        <v>2</v>
      </c>
      <c r="N126" s="586">
        <v>0.675</v>
      </c>
      <c r="O126" s="492">
        <v>0</v>
      </c>
      <c r="P126" s="492"/>
      <c r="Q126" s="569">
        <v>0</v>
      </c>
      <c r="R126" s="569"/>
      <c r="S126" s="782"/>
      <c r="T126" s="788"/>
      <c r="U126" s="493">
        <f>AE126</f>
        <v>0</v>
      </c>
      <c r="V126" s="493"/>
      <c r="W126" s="577">
        <f>SUM(Y126:AC126)</f>
        <v>0.216</v>
      </c>
      <c r="X126" s="577">
        <f>Z126+AB126+AD126</f>
        <v>0.004</v>
      </c>
      <c r="Y126" s="577">
        <f>AT126</f>
        <v>0.216</v>
      </c>
      <c r="Z126" s="577"/>
      <c r="AA126" s="577">
        <f>AR126</f>
        <v>0</v>
      </c>
      <c r="AB126" s="577"/>
      <c r="AC126" s="577">
        <f>AQ126</f>
        <v>0</v>
      </c>
      <c r="AD126" s="622">
        <v>0.004</v>
      </c>
      <c r="AE126" s="512">
        <f t="shared" si="35"/>
        <v>0</v>
      </c>
      <c r="AF126" s="540">
        <v>0</v>
      </c>
      <c r="AG126" s="534"/>
      <c r="AH126" s="512">
        <v>11035</v>
      </c>
      <c r="AI126" s="512"/>
      <c r="AJ126" s="513">
        <v>106.23302983559877</v>
      </c>
      <c r="AK126" s="514">
        <v>105.1948604625895</v>
      </c>
      <c r="AL126" s="513">
        <v>104.86113485125321</v>
      </c>
      <c r="AM126" s="512">
        <v>12</v>
      </c>
      <c r="AN126" s="512">
        <v>1000000</v>
      </c>
      <c r="AO126" s="512">
        <v>0.12</v>
      </c>
      <c r="AP126" s="523">
        <f t="shared" si="49"/>
        <v>0</v>
      </c>
      <c r="AQ126" s="523">
        <f t="shared" si="45"/>
        <v>0</v>
      </c>
      <c r="AR126" s="523">
        <f t="shared" si="46"/>
        <v>0</v>
      </c>
      <c r="AS126" s="512">
        <v>0.18</v>
      </c>
      <c r="AT126" s="523">
        <f t="shared" si="44"/>
        <v>0.216</v>
      </c>
      <c r="BC126" s="536"/>
      <c r="BD126" s="536"/>
      <c r="BE126" s="536"/>
      <c r="BF126" s="536"/>
      <c r="BG126" s="537"/>
      <c r="BH126" s="537"/>
      <c r="BJ126" s="538"/>
      <c r="BK126" s="538"/>
      <c r="BL126" s="539"/>
    </row>
    <row r="127" spans="1:64" s="535" customFormat="1" ht="28.5" customHeight="1">
      <c r="A127" s="742"/>
      <c r="B127" s="742"/>
      <c r="C127" s="742"/>
      <c r="D127" s="489">
        <v>2014</v>
      </c>
      <c r="E127" s="578">
        <v>1.5</v>
      </c>
      <c r="F127" s="578">
        <v>3.77</v>
      </c>
      <c r="G127" s="569">
        <v>0</v>
      </c>
      <c r="H127" s="586"/>
      <c r="I127" s="578">
        <v>0</v>
      </c>
      <c r="J127" s="578"/>
      <c r="K127" s="569">
        <v>0</v>
      </c>
      <c r="L127" s="569"/>
      <c r="M127" s="569">
        <v>1.5</v>
      </c>
      <c r="N127" s="586">
        <v>3.77</v>
      </c>
      <c r="O127" s="492">
        <v>0</v>
      </c>
      <c r="P127" s="492"/>
      <c r="Q127" s="569">
        <v>0</v>
      </c>
      <c r="R127" s="569"/>
      <c r="S127" s="782"/>
      <c r="T127" s="788"/>
      <c r="U127" s="493">
        <f>AE127</f>
        <v>3</v>
      </c>
      <c r="V127" s="493">
        <v>4</v>
      </c>
      <c r="W127" s="577">
        <f>Y127+AA127+AC127</f>
        <v>0.21214765232084193</v>
      </c>
      <c r="X127" s="577">
        <f>Z127+AB127+AD127</f>
        <v>0.7250000000000001</v>
      </c>
      <c r="Y127" s="577">
        <f>AT127</f>
        <v>0.16199999999999998</v>
      </c>
      <c r="Z127" s="577">
        <v>0.68</v>
      </c>
      <c r="AA127" s="577">
        <f>AR127</f>
        <v>0.027185042323128426</v>
      </c>
      <c r="AB127" s="577">
        <v>0.025</v>
      </c>
      <c r="AC127" s="577">
        <f>AQ127</f>
        <v>0.02296260999771353</v>
      </c>
      <c r="AD127" s="622">
        <v>0.02</v>
      </c>
      <c r="AE127" s="512">
        <f t="shared" si="35"/>
        <v>3</v>
      </c>
      <c r="AF127" s="540">
        <v>3</v>
      </c>
      <c r="AG127" s="534"/>
      <c r="AH127" s="512">
        <v>11035</v>
      </c>
      <c r="AI127" s="512"/>
      <c r="AJ127" s="513">
        <v>106.23302983559877</v>
      </c>
      <c r="AK127" s="514">
        <v>105.1948604625895</v>
      </c>
      <c r="AL127" s="513">
        <v>104.86113485125321</v>
      </c>
      <c r="AM127" s="512">
        <v>12</v>
      </c>
      <c r="AN127" s="512">
        <v>1000000</v>
      </c>
      <c r="AO127" s="512">
        <v>0.12</v>
      </c>
      <c r="AP127" s="523">
        <f>AE127*AH127*AK127%*AM127/AN127*AO127</f>
        <v>0.05014765232084196</v>
      </c>
      <c r="AQ127" s="523">
        <f t="shared" si="45"/>
        <v>0.02296260999771353</v>
      </c>
      <c r="AR127" s="523">
        <f t="shared" si="46"/>
        <v>0.027185042323128426</v>
      </c>
      <c r="AS127" s="512">
        <v>0.18</v>
      </c>
      <c r="AT127" s="523">
        <f t="shared" si="44"/>
        <v>0.16199999999999998</v>
      </c>
      <c r="BC127" s="536"/>
      <c r="BD127" s="536"/>
      <c r="BE127" s="536"/>
      <c r="BF127" s="536"/>
      <c r="BG127" s="537"/>
      <c r="BH127" s="537"/>
      <c r="BJ127" s="538"/>
      <c r="BK127" s="538"/>
      <c r="BL127" s="539"/>
    </row>
    <row r="128" spans="1:64" s="670" customFormat="1" ht="28.5" customHeight="1">
      <c r="A128" s="742"/>
      <c r="B128" s="742"/>
      <c r="C128" s="742"/>
      <c r="D128" s="633">
        <v>2015</v>
      </c>
      <c r="E128" s="650">
        <v>0.5</v>
      </c>
      <c r="F128" s="650">
        <v>1.2457</v>
      </c>
      <c r="G128" s="634">
        <v>0</v>
      </c>
      <c r="H128" s="667"/>
      <c r="I128" s="650">
        <v>0</v>
      </c>
      <c r="J128" s="650"/>
      <c r="K128" s="634">
        <v>0</v>
      </c>
      <c r="L128" s="634"/>
      <c r="M128" s="634">
        <v>0.5</v>
      </c>
      <c r="N128" s="667">
        <v>1.2457</v>
      </c>
      <c r="O128" s="634">
        <v>0</v>
      </c>
      <c r="P128" s="634"/>
      <c r="Q128" s="634">
        <v>0</v>
      </c>
      <c r="R128" s="634"/>
      <c r="S128" s="782"/>
      <c r="T128" s="788"/>
      <c r="U128" s="637">
        <f>AE128</f>
        <v>1</v>
      </c>
      <c r="V128" s="637">
        <v>1</v>
      </c>
      <c r="W128" s="646">
        <f>Y128+AA128+AC128</f>
        <v>0.07066285377240354</v>
      </c>
      <c r="X128" s="646">
        <f>Z128+AB128+AD128</f>
        <v>1.08</v>
      </c>
      <c r="Y128" s="646">
        <f>AT128</f>
        <v>0.054</v>
      </c>
      <c r="Z128" s="646">
        <v>0.9</v>
      </c>
      <c r="AA128" s="646">
        <f>AR128</f>
        <v>0.009032933030019959</v>
      </c>
      <c r="AB128" s="646">
        <v>0.08</v>
      </c>
      <c r="AC128" s="646">
        <f>AQ128</f>
        <v>0.00762992074238358</v>
      </c>
      <c r="AD128" s="661">
        <v>0.1</v>
      </c>
      <c r="AE128" s="638">
        <f t="shared" si="35"/>
        <v>1</v>
      </c>
      <c r="AF128" s="659">
        <v>1</v>
      </c>
      <c r="AG128" s="669"/>
      <c r="AH128" s="638">
        <v>11035</v>
      </c>
      <c r="AI128" s="638"/>
      <c r="AJ128" s="641">
        <v>106.23302983559877</v>
      </c>
      <c r="AK128" s="642">
        <v>105.1948604625895</v>
      </c>
      <c r="AL128" s="641">
        <v>104.86113485125321</v>
      </c>
      <c r="AM128" s="638">
        <v>12</v>
      </c>
      <c r="AN128" s="638">
        <v>1000000</v>
      </c>
      <c r="AO128" s="638">
        <v>0.12</v>
      </c>
      <c r="AP128" s="643">
        <f>AE128*AH128*AL128%*AM128/AN128*AO128</f>
        <v>0.01666285377240354</v>
      </c>
      <c r="AQ128" s="643">
        <f t="shared" si="45"/>
        <v>0.00762992074238358</v>
      </c>
      <c r="AR128" s="643">
        <f t="shared" si="46"/>
        <v>0.009032933030019959</v>
      </c>
      <c r="AS128" s="638">
        <v>0.18</v>
      </c>
      <c r="AT128" s="643">
        <f t="shared" si="44"/>
        <v>0.054</v>
      </c>
      <c r="BC128" s="671"/>
      <c r="BD128" s="671"/>
      <c r="BE128" s="671"/>
      <c r="BF128" s="671"/>
      <c r="BG128" s="672"/>
      <c r="BH128" s="672"/>
      <c r="BJ128" s="673"/>
      <c r="BK128" s="673"/>
      <c r="BL128" s="674"/>
    </row>
    <row r="129" spans="1:46" s="553" customFormat="1" ht="18" customHeight="1">
      <c r="A129" s="803" t="s">
        <v>365</v>
      </c>
      <c r="B129" s="836"/>
      <c r="C129" s="836"/>
      <c r="D129" s="836"/>
      <c r="E129" s="836"/>
      <c r="F129" s="836"/>
      <c r="G129" s="836"/>
      <c r="H129" s="836"/>
      <c r="I129" s="836"/>
      <c r="J129" s="836"/>
      <c r="K129" s="836"/>
      <c r="L129" s="836"/>
      <c r="M129" s="836"/>
      <c r="N129" s="836"/>
      <c r="O129" s="836"/>
      <c r="P129" s="836"/>
      <c r="Q129" s="836"/>
      <c r="R129" s="836"/>
      <c r="S129" s="836"/>
      <c r="T129" s="836"/>
      <c r="U129" s="836"/>
      <c r="V129" s="836"/>
      <c r="W129" s="836"/>
      <c r="X129" s="836"/>
      <c r="Y129" s="836"/>
      <c r="Z129" s="836"/>
      <c r="AA129" s="836"/>
      <c r="AB129" s="836"/>
      <c r="AC129" s="836"/>
      <c r="AD129" s="696"/>
      <c r="AE129" s="554"/>
      <c r="AF129" s="554"/>
      <c r="AG129" s="554"/>
      <c r="AH129" s="554"/>
      <c r="AI129" s="554"/>
      <c r="AJ129" s="555">
        <v>106.23302983559877</v>
      </c>
      <c r="AK129" s="556">
        <v>105.1948604625895</v>
      </c>
      <c r="AL129" s="555">
        <v>104.86113485125321</v>
      </c>
      <c r="AM129" s="554">
        <v>12</v>
      </c>
      <c r="AN129" s="554">
        <v>1000000</v>
      </c>
      <c r="AO129" s="554">
        <v>0.12</v>
      </c>
      <c r="AP129" s="563">
        <f t="shared" si="49"/>
        <v>0</v>
      </c>
      <c r="AQ129" s="563">
        <f t="shared" si="45"/>
        <v>0</v>
      </c>
      <c r="AR129" s="563">
        <f t="shared" si="46"/>
        <v>0</v>
      </c>
      <c r="AS129" s="554">
        <v>0.18</v>
      </c>
      <c r="AT129" s="563">
        <f t="shared" si="44"/>
        <v>0</v>
      </c>
    </row>
    <row r="130" spans="1:46" s="615" customFormat="1" ht="18" customHeight="1">
      <c r="A130" s="828"/>
      <c r="B130" s="804" t="s">
        <v>367</v>
      </c>
      <c r="C130" s="790"/>
      <c r="D130" s="681" t="s">
        <v>273</v>
      </c>
      <c r="E130" s="649">
        <f>G130+I130+K130+M130+O130+Q130</f>
        <v>11012.1977</v>
      </c>
      <c r="F130" s="649">
        <f>SUM(F131:F133)</f>
        <v>5224.73792</v>
      </c>
      <c r="G130" s="610">
        <f aca="true" t="shared" si="62" ref="G130:Q130">SUM(G131:G133)</f>
        <v>8647.3693</v>
      </c>
      <c r="H130" s="684">
        <f>SUM(H131:H133)</f>
        <v>3503.4777</v>
      </c>
      <c r="I130" s="649">
        <f t="shared" si="62"/>
        <v>1583.2653</v>
      </c>
      <c r="J130" s="649">
        <f>SUM(J131:J133)</f>
        <v>1094.578</v>
      </c>
      <c r="K130" s="610">
        <f t="shared" si="62"/>
        <v>382.8081</v>
      </c>
      <c r="L130" s="610">
        <f>SUM(L131:L133)</f>
        <v>62.78466</v>
      </c>
      <c r="M130" s="610">
        <f t="shared" si="62"/>
        <v>283.255</v>
      </c>
      <c r="N130" s="684">
        <f>SUM(N131:N133)</f>
        <v>265.103</v>
      </c>
      <c r="O130" s="610">
        <f t="shared" si="62"/>
        <v>0</v>
      </c>
      <c r="P130" s="610">
        <f>SUM(P131:P133)</f>
        <v>0</v>
      </c>
      <c r="Q130" s="610">
        <f t="shared" si="62"/>
        <v>115.5</v>
      </c>
      <c r="R130" s="610">
        <f>SUM(R131:R133)</f>
        <v>298.82</v>
      </c>
      <c r="S130" s="789"/>
      <c r="T130" s="789"/>
      <c r="U130" s="677">
        <f>SUM(U131:U133)</f>
        <v>5134</v>
      </c>
      <c r="V130" s="677"/>
      <c r="W130" s="649">
        <f>Y130+AA130+AC130</f>
        <v>1349.5329852773605</v>
      </c>
      <c r="X130" s="649">
        <f>SUM(X131:X133)</f>
        <v>538.7241000000001</v>
      </c>
      <c r="Y130" s="649">
        <f aca="true" t="shared" si="63" ref="Y130:AD130">SUM(Y131:Y133)</f>
        <v>1194.9358636</v>
      </c>
      <c r="Z130" s="649">
        <f t="shared" si="63"/>
        <v>346.747</v>
      </c>
      <c r="AA130" s="649">
        <f t="shared" si="63"/>
        <v>83.80709966129716</v>
      </c>
      <c r="AB130" s="649">
        <f t="shared" si="63"/>
        <v>11.7148</v>
      </c>
      <c r="AC130" s="649">
        <f t="shared" si="63"/>
        <v>70.7900220160634</v>
      </c>
      <c r="AD130" s="684">
        <f t="shared" si="63"/>
        <v>20.7262</v>
      </c>
      <c r="AE130" s="554"/>
      <c r="AF130" s="677">
        <f>SUM(AF131:AF133)</f>
        <v>963</v>
      </c>
      <c r="AG130" s="677">
        <f>SUM(AG131:AG133)</f>
        <v>2417</v>
      </c>
      <c r="AH130" s="554"/>
      <c r="AI130" s="554"/>
      <c r="AJ130" s="555">
        <v>106.23302983559877</v>
      </c>
      <c r="AK130" s="556">
        <v>105.1948604625895</v>
      </c>
      <c r="AL130" s="555">
        <v>104.86113485125321</v>
      </c>
      <c r="AM130" s="554">
        <v>12</v>
      </c>
      <c r="AN130" s="554">
        <v>1000000</v>
      </c>
      <c r="AO130" s="554">
        <v>0.12</v>
      </c>
      <c r="AP130" s="563">
        <f t="shared" si="49"/>
        <v>0</v>
      </c>
      <c r="AQ130" s="563">
        <f t="shared" si="45"/>
        <v>0</v>
      </c>
      <c r="AR130" s="563">
        <f t="shared" si="46"/>
        <v>0</v>
      </c>
      <c r="AS130" s="554">
        <v>0.18</v>
      </c>
      <c r="AT130" s="563">
        <f t="shared" si="44"/>
        <v>1189.3173516</v>
      </c>
    </row>
    <row r="131" spans="1:59" s="615" customFormat="1" ht="89.25" customHeight="1">
      <c r="A131" s="828"/>
      <c r="B131" s="790"/>
      <c r="C131" s="790"/>
      <c r="D131" s="676">
        <v>2013</v>
      </c>
      <c r="E131" s="649">
        <f>G131+I131+K131+M131+O131+Q131</f>
        <v>1336.7151000000001</v>
      </c>
      <c r="F131" s="649">
        <f>F137+F186+F203+F255+F304+F367+F380+F401+F410+F435</f>
        <v>1996.56579</v>
      </c>
      <c r="G131" s="610">
        <f aca="true" t="shared" si="64" ref="G131:Q131">G203+G255+G137+G304+G367+G380+G401+G410+G435+G186</f>
        <v>660.2723000000001</v>
      </c>
      <c r="H131" s="684">
        <f>H137+H186+H203+H255+H304+H367+H380+H401+H410+H435</f>
        <v>1036.8649</v>
      </c>
      <c r="I131" s="649">
        <f t="shared" si="64"/>
        <v>482.13669999999996</v>
      </c>
      <c r="J131" s="649">
        <f>J137+J186+J203+J255+J304+J367+J380+J401+J410+J435</f>
        <v>753.044</v>
      </c>
      <c r="K131" s="610">
        <f t="shared" si="64"/>
        <v>45.6301</v>
      </c>
      <c r="L131" s="610">
        <f>L137+L186+L203+L255+L304+L367+L380+L401+L410+L435</f>
        <v>15.90783</v>
      </c>
      <c r="M131" s="610">
        <f t="shared" si="64"/>
        <v>110.17599999999999</v>
      </c>
      <c r="N131" s="684">
        <f>N137+N186+N203+N255+N304+N367+N380+N401+N410+N435</f>
        <v>146.71800000000002</v>
      </c>
      <c r="O131" s="610">
        <f t="shared" si="64"/>
        <v>0</v>
      </c>
      <c r="P131" s="610">
        <f>P137+P186+P203+P255+P304+P367+P380+P401+P410+P435</f>
        <v>0</v>
      </c>
      <c r="Q131" s="610">
        <f t="shared" si="64"/>
        <v>38.5</v>
      </c>
      <c r="R131" s="610">
        <f>R137+R186+R203+R255+R304+R367+R380+R401+R410+R435</f>
        <v>44.02</v>
      </c>
      <c r="S131" s="790"/>
      <c r="T131" s="790"/>
      <c r="U131" s="677">
        <f>U203+U255+U137+U304+U367+U380+U401+U410+U435+U186</f>
        <v>938</v>
      </c>
      <c r="V131" s="610" t="s">
        <v>810</v>
      </c>
      <c r="W131" s="649">
        <f>Y131+AA131+AC131</f>
        <v>177.32097534249777</v>
      </c>
      <c r="X131" s="649">
        <f>X137+X186+X203+X255+X304+X367+X380+X401+X410+X435</f>
        <v>47.719100000000005</v>
      </c>
      <c r="Y131" s="649">
        <f>Y203+Y255+Y137+Y304+Y367+Y380+Y401+Y410+Y435+Y186</f>
        <v>143.0917508</v>
      </c>
      <c r="Z131" s="649">
        <f>Z137+Z186+Z203+Z255+Z304+Z367+Z380+Z401+Z410+Z435</f>
        <v>23.5</v>
      </c>
      <c r="AA131" s="649">
        <f aca="true" t="shared" si="65" ref="Y131:AC133">AA203+AA255+AA137+AA304+AA367+AA380+AA401+AA410+AA435+AA186</f>
        <v>18.555662624488043</v>
      </c>
      <c r="AB131" s="649">
        <f>AB137+AB186+AB203+AB255+AB304+AB367+AB380+AB401+AB410+AB435</f>
        <v>7.142799999999999</v>
      </c>
      <c r="AC131" s="649">
        <f t="shared" si="65"/>
        <v>15.673561918009732</v>
      </c>
      <c r="AD131" s="684">
        <f>AD137+AD186+AD203+AD255+AD304+AD367+AD380+AD401+AD410+AD435</f>
        <v>17.0763</v>
      </c>
      <c r="AE131" s="554"/>
      <c r="AF131" s="677">
        <f aca="true" t="shared" si="66" ref="AF131:AG133">AF203+AF255+AF137+AF304+AF367+AF380+AF401+AF410+AF435+AF186</f>
        <v>477</v>
      </c>
      <c r="AG131" s="677">
        <f t="shared" si="66"/>
        <v>461</v>
      </c>
      <c r="AH131" s="554"/>
      <c r="AI131" s="554"/>
      <c r="AJ131" s="555">
        <v>106.23302983559877</v>
      </c>
      <c r="AK131" s="556">
        <v>105.1948604625895</v>
      </c>
      <c r="AL131" s="555">
        <v>104.86113485125321</v>
      </c>
      <c r="AM131" s="554">
        <v>12</v>
      </c>
      <c r="AN131" s="554">
        <v>1000000</v>
      </c>
      <c r="AO131" s="554">
        <v>0.12</v>
      </c>
      <c r="AP131" s="563">
        <f t="shared" si="49"/>
        <v>0</v>
      </c>
      <c r="AQ131" s="563">
        <f t="shared" si="45"/>
        <v>0</v>
      </c>
      <c r="AR131" s="563">
        <f t="shared" si="46"/>
        <v>0</v>
      </c>
      <c r="AS131" s="554">
        <v>0.18</v>
      </c>
      <c r="AT131" s="563">
        <f t="shared" si="44"/>
        <v>144.3652308</v>
      </c>
      <c r="BG131" s="561"/>
    </row>
    <row r="132" spans="1:46" s="615" customFormat="1" ht="69.75" customHeight="1">
      <c r="A132" s="828"/>
      <c r="B132" s="790"/>
      <c r="C132" s="790"/>
      <c r="D132" s="676">
        <v>2014</v>
      </c>
      <c r="E132" s="649">
        <f>G132+I132+K132+M132+O132+Q132</f>
        <v>5275.765300000001</v>
      </c>
      <c r="F132" s="649">
        <f>F138+F187+F204+F256+F305+F368+F381+F402+F411+F436</f>
        <v>1926.73413</v>
      </c>
      <c r="G132" s="610">
        <f aca="true" t="shared" si="67" ref="G132:Q132">G204+G256+G138+G305+G368+G381+G402+G411+G436+G187</f>
        <v>3976.6130000000003</v>
      </c>
      <c r="H132" s="684">
        <f>H138+H187+H204+H256+H305+H368+H381+H402+H411+H436</f>
        <v>1538.1760000000002</v>
      </c>
      <c r="I132" s="649">
        <f t="shared" si="67"/>
        <v>895.1886</v>
      </c>
      <c r="J132" s="649">
        <f>J138+J187+J204+J256+J305+J368+J381+J402+J411+J436</f>
        <v>188.87</v>
      </c>
      <c r="K132" s="610">
        <f t="shared" si="67"/>
        <v>276.4287</v>
      </c>
      <c r="L132" s="610">
        <f>L138+L187+L204+L256+L305+L368+L381+L402+L411+L436</f>
        <v>23.68283</v>
      </c>
      <c r="M132" s="610">
        <f t="shared" si="67"/>
        <v>89.035</v>
      </c>
      <c r="N132" s="684">
        <f>N138+N187+N204+N256+N305+N368+N381+N402+N411+N436</f>
        <v>55.867</v>
      </c>
      <c r="O132" s="610">
        <f t="shared" si="67"/>
        <v>0</v>
      </c>
      <c r="P132" s="610">
        <f>P138+P187+P204+P256+P305+P368+P381+P402+P411+P436</f>
        <v>0</v>
      </c>
      <c r="Q132" s="610">
        <f t="shared" si="67"/>
        <v>38.5</v>
      </c>
      <c r="R132" s="610">
        <f>R138+R187+R204+R256+R305+R368+R381+R402+R411+R436</f>
        <v>120.1</v>
      </c>
      <c r="S132" s="790"/>
      <c r="T132" s="790"/>
      <c r="U132" s="677">
        <f>U204+U256+U138+U305+U368+U381+U402+U411+U436+U187</f>
        <v>2059</v>
      </c>
      <c r="V132" s="610" t="s">
        <v>813</v>
      </c>
      <c r="W132" s="649">
        <f>Y132+AA132+AC132</f>
        <v>670.1272105627711</v>
      </c>
      <c r="X132" s="649">
        <f>X138+X187+X204+X256+X305+X368+X381+X402+X411+X436</f>
        <v>329.13900000000007</v>
      </c>
      <c r="Y132" s="649">
        <f>Y204+Y256+Y138+Y305+Y368+Y381+Y402+Y411+Y436+Y187</f>
        <v>569.9544203999999</v>
      </c>
      <c r="Z132" s="649">
        <f>Z138+Z187+Z204+Z256+Z305+Z368+Z381+Z402+Z411+Z436</f>
        <v>323.208</v>
      </c>
      <c r="AA132" s="649">
        <f t="shared" si="65"/>
        <v>54.303669547238286</v>
      </c>
      <c r="AB132" s="649">
        <f>AB138+AB187+AB204+AB256+AB305+AB368+AB381+AB402+AB411+AB436</f>
        <v>3.397</v>
      </c>
      <c r="AC132" s="649">
        <f t="shared" si="65"/>
        <v>45.86912061553294</v>
      </c>
      <c r="AD132" s="684">
        <f>AD138+AD187+AD204+AD256+AD305+AD368+AD381+AD402+AD411+AD436</f>
        <v>2.834</v>
      </c>
      <c r="AE132" s="554"/>
      <c r="AF132" s="677">
        <f t="shared" si="66"/>
        <v>450</v>
      </c>
      <c r="AG132" s="677">
        <f t="shared" si="66"/>
        <v>1601</v>
      </c>
      <c r="AH132" s="554"/>
      <c r="AI132" s="554"/>
      <c r="AJ132" s="555">
        <v>106.23302983559877</v>
      </c>
      <c r="AK132" s="556">
        <v>105.1948604625895</v>
      </c>
      <c r="AL132" s="555">
        <v>104.86113485125321</v>
      </c>
      <c r="AM132" s="554">
        <v>12</v>
      </c>
      <c r="AN132" s="554">
        <v>1000000</v>
      </c>
      <c r="AO132" s="554">
        <v>0.12</v>
      </c>
      <c r="AP132" s="563">
        <f t="shared" si="49"/>
        <v>0</v>
      </c>
      <c r="AQ132" s="563">
        <f t="shared" si="45"/>
        <v>0</v>
      </c>
      <c r="AR132" s="563">
        <f t="shared" si="46"/>
        <v>0</v>
      </c>
      <c r="AS132" s="554">
        <v>0.18</v>
      </c>
      <c r="AT132" s="563">
        <f t="shared" si="44"/>
        <v>569.7826524000001</v>
      </c>
    </row>
    <row r="133" spans="1:46" s="615" customFormat="1" ht="76.5" customHeight="1">
      <c r="A133" s="828"/>
      <c r="B133" s="790"/>
      <c r="C133" s="790"/>
      <c r="D133" s="676">
        <v>2015</v>
      </c>
      <c r="E133" s="649">
        <f>G133+I133+K133+M133+O133+Q133</f>
        <v>4399.7173</v>
      </c>
      <c r="F133" s="649">
        <f>F139+F188+F205+F257+F306+F369+F382+F403+F412+F437</f>
        <v>1301.4379999999996</v>
      </c>
      <c r="G133" s="610">
        <f aca="true" t="shared" si="68" ref="G133:Q133">G205+G257+G139+G306+G369+G382+G403+G412+G437+G188</f>
        <v>4010.4840000000004</v>
      </c>
      <c r="H133" s="684">
        <f>H139+H188+H205+H257+H306+H369+H382+H403+H412+H437</f>
        <v>928.4368</v>
      </c>
      <c r="I133" s="649">
        <f t="shared" si="68"/>
        <v>205.94</v>
      </c>
      <c r="J133" s="649">
        <f>J139+J188+J205+J257+J306+J369+J382+J403+J412+J437</f>
        <v>152.66400000000002</v>
      </c>
      <c r="K133" s="610">
        <f t="shared" si="68"/>
        <v>60.7493</v>
      </c>
      <c r="L133" s="610">
        <f>L139+L188+L205+L257+L306+L369+L382+L403+L412+L437</f>
        <v>23.194000000000003</v>
      </c>
      <c r="M133" s="610">
        <f t="shared" si="68"/>
        <v>84.044</v>
      </c>
      <c r="N133" s="684">
        <f>N139+N188+N205+N257+N306+N369+N382+N403+N412+N437</f>
        <v>62.518</v>
      </c>
      <c r="O133" s="610">
        <f t="shared" si="68"/>
        <v>0</v>
      </c>
      <c r="P133" s="610">
        <f>P139+P188+P205+P257+P306+P369+P382+P403+P412+P437</f>
        <v>0</v>
      </c>
      <c r="Q133" s="610">
        <f t="shared" si="68"/>
        <v>38.5</v>
      </c>
      <c r="R133" s="610">
        <f>R139+R188+R205+R257+R306+R369+R382+R403+R412+R437</f>
        <v>134.7</v>
      </c>
      <c r="S133" s="790"/>
      <c r="T133" s="790"/>
      <c r="U133" s="677">
        <f>U205+U257+U139+U306+U369+U382+U403+U412+U437+U188</f>
        <v>2137</v>
      </c>
      <c r="V133" s="610" t="s">
        <v>846</v>
      </c>
      <c r="W133" s="649">
        <f>Y133+AA133+AC133</f>
        <v>502.08479937209154</v>
      </c>
      <c r="X133" s="649">
        <f>X139+X188+X205+X257+X306+X369+X382+X403+X412+X437</f>
        <v>161.86599999999999</v>
      </c>
      <c r="Y133" s="649">
        <f t="shared" si="65"/>
        <v>481.8896924</v>
      </c>
      <c r="Z133" s="649">
        <f>Z139+Z188+Z205+Z257+Z306+Z369+Z382+Z403+Z412+Z437</f>
        <v>0.039</v>
      </c>
      <c r="AA133" s="649">
        <f t="shared" si="65"/>
        <v>10.947767489570834</v>
      </c>
      <c r="AB133" s="649">
        <f>AB139+AB188+AB205+AB257+AB306+AB369+AB382+AB403+AB412+AB437</f>
        <v>1.175</v>
      </c>
      <c r="AC133" s="649">
        <f t="shared" si="65"/>
        <v>9.247339482520722</v>
      </c>
      <c r="AD133" s="684">
        <f>AD139+AD188+AD205+AD257+AD306+AD369+AD382+AD403+AD412+AD437</f>
        <v>0.8159000000000001</v>
      </c>
      <c r="AE133" s="554"/>
      <c r="AF133" s="677">
        <f t="shared" si="66"/>
        <v>36</v>
      </c>
      <c r="AG133" s="677">
        <f t="shared" si="66"/>
        <v>355</v>
      </c>
      <c r="AH133" s="554"/>
      <c r="AI133" s="554"/>
      <c r="AJ133" s="555">
        <v>106.23302983559877</v>
      </c>
      <c r="AK133" s="556">
        <v>105.1948604625895</v>
      </c>
      <c r="AL133" s="555">
        <v>104.86113485125321</v>
      </c>
      <c r="AM133" s="554">
        <v>12</v>
      </c>
      <c r="AN133" s="554">
        <v>1000000</v>
      </c>
      <c r="AO133" s="554">
        <v>0.12</v>
      </c>
      <c r="AP133" s="563">
        <f t="shared" si="49"/>
        <v>0</v>
      </c>
      <c r="AQ133" s="563">
        <f t="shared" si="45"/>
        <v>0</v>
      </c>
      <c r="AR133" s="563">
        <f t="shared" si="46"/>
        <v>0</v>
      </c>
      <c r="AS133" s="554">
        <v>0.18</v>
      </c>
      <c r="AT133" s="563">
        <f t="shared" si="44"/>
        <v>475.16946839999997</v>
      </c>
    </row>
    <row r="134" spans="1:46" ht="15" customHeight="1">
      <c r="A134" s="787" t="s">
        <v>380</v>
      </c>
      <c r="B134" s="787"/>
      <c r="C134" s="787"/>
      <c r="D134" s="787"/>
      <c r="E134" s="787"/>
      <c r="F134" s="787"/>
      <c r="G134" s="787"/>
      <c r="H134" s="787"/>
      <c r="I134" s="787"/>
      <c r="J134" s="787"/>
      <c r="K134" s="787"/>
      <c r="L134" s="787"/>
      <c r="M134" s="787"/>
      <c r="N134" s="787"/>
      <c r="O134" s="787"/>
      <c r="P134" s="787"/>
      <c r="Q134" s="787"/>
      <c r="R134" s="787"/>
      <c r="S134" s="787"/>
      <c r="T134" s="787"/>
      <c r="U134" s="787"/>
      <c r="V134" s="787"/>
      <c r="W134" s="787"/>
      <c r="X134" s="787"/>
      <c r="Y134" s="787"/>
      <c r="Z134" s="787"/>
      <c r="AA134" s="787"/>
      <c r="AB134" s="787"/>
      <c r="AC134" s="787"/>
      <c r="AD134" s="700"/>
      <c r="AJ134" s="513">
        <v>106.23302983559877</v>
      </c>
      <c r="AK134" s="514">
        <v>105.1948604625895</v>
      </c>
      <c r="AL134" s="513">
        <v>104.86113485125321</v>
      </c>
      <c r="AM134" s="512">
        <v>12</v>
      </c>
      <c r="AN134" s="512">
        <v>1000000</v>
      </c>
      <c r="AO134" s="512">
        <v>0.12</v>
      </c>
      <c r="AP134" s="523">
        <f t="shared" si="49"/>
        <v>0</v>
      </c>
      <c r="AQ134" s="523">
        <f t="shared" si="45"/>
        <v>0</v>
      </c>
      <c r="AR134" s="523">
        <f t="shared" si="46"/>
        <v>0</v>
      </c>
      <c r="AS134" s="512">
        <v>0.18</v>
      </c>
      <c r="AT134" s="523">
        <f t="shared" si="44"/>
        <v>0</v>
      </c>
    </row>
    <row r="135" spans="1:46" s="553" customFormat="1" ht="16.5" customHeight="1">
      <c r="A135" s="801" t="s">
        <v>25</v>
      </c>
      <c r="B135" s="801"/>
      <c r="C135" s="801"/>
      <c r="D135" s="801"/>
      <c r="E135" s="801"/>
      <c r="F135" s="801"/>
      <c r="G135" s="801"/>
      <c r="H135" s="801"/>
      <c r="I135" s="801"/>
      <c r="J135" s="801"/>
      <c r="K135" s="801"/>
      <c r="L135" s="801"/>
      <c r="M135" s="801"/>
      <c r="N135" s="801"/>
      <c r="O135" s="801"/>
      <c r="P135" s="801"/>
      <c r="Q135" s="801"/>
      <c r="R135" s="801"/>
      <c r="S135" s="801"/>
      <c r="T135" s="801"/>
      <c r="U135" s="801"/>
      <c r="V135" s="801"/>
      <c r="W135" s="801"/>
      <c r="X135" s="801"/>
      <c r="Y135" s="801"/>
      <c r="Z135" s="801"/>
      <c r="AA135" s="801"/>
      <c r="AB135" s="801"/>
      <c r="AC135" s="801"/>
      <c r="AD135" s="696"/>
      <c r="AE135" s="554"/>
      <c r="AF135" s="554"/>
      <c r="AG135" s="554"/>
      <c r="AH135" s="554"/>
      <c r="AI135" s="554"/>
      <c r="AJ135" s="555">
        <v>106.23302983559877</v>
      </c>
      <c r="AK135" s="556">
        <v>105.1948604625895</v>
      </c>
      <c r="AL135" s="555">
        <v>104.86113485125321</v>
      </c>
      <c r="AM135" s="554">
        <v>12</v>
      </c>
      <c r="AN135" s="554">
        <v>1000000</v>
      </c>
      <c r="AO135" s="554">
        <v>0.12</v>
      </c>
      <c r="AP135" s="563">
        <f t="shared" si="49"/>
        <v>0</v>
      </c>
      <c r="AQ135" s="563">
        <f t="shared" si="45"/>
        <v>0</v>
      </c>
      <c r="AR135" s="563">
        <f t="shared" si="46"/>
        <v>0</v>
      </c>
      <c r="AS135" s="554">
        <v>0.18</v>
      </c>
      <c r="AT135" s="563">
        <f t="shared" si="44"/>
        <v>0</v>
      </c>
    </row>
    <row r="136" spans="1:52" s="553" customFormat="1" ht="18" customHeight="1">
      <c r="A136" s="795"/>
      <c r="B136" s="827" t="s">
        <v>335</v>
      </c>
      <c r="C136" s="827"/>
      <c r="D136" s="632" t="s">
        <v>273</v>
      </c>
      <c r="E136" s="577">
        <f>SUM(G136:Q136)</f>
        <v>324.08896</v>
      </c>
      <c r="F136" s="577">
        <f>SUM(F137:F139)</f>
        <v>180.19642</v>
      </c>
      <c r="G136" s="492">
        <f aca="true" t="shared" si="69" ref="G136:Q136">SUM(G137:G139)</f>
        <v>115.39999999999999</v>
      </c>
      <c r="H136" s="622">
        <f>SUM(H137:H139)</f>
        <v>100.9969</v>
      </c>
      <c r="I136" s="577">
        <f t="shared" si="69"/>
        <v>14.0893</v>
      </c>
      <c r="J136" s="577">
        <f>SUM(J137:J139)</f>
        <v>71.72419999999998</v>
      </c>
      <c r="K136" s="492">
        <f t="shared" si="69"/>
        <v>4.2841000000000005</v>
      </c>
      <c r="L136" s="492">
        <f>SUM(L137:L139)</f>
        <v>6.83446</v>
      </c>
      <c r="M136" s="492">
        <f t="shared" si="69"/>
        <v>10.194999999999999</v>
      </c>
      <c r="N136" s="622">
        <f>SUM(N137:N139)</f>
        <v>0.565</v>
      </c>
      <c r="O136" s="492">
        <f t="shared" si="69"/>
        <v>0</v>
      </c>
      <c r="P136" s="492">
        <f>SUM(P137:P139)</f>
        <v>0</v>
      </c>
      <c r="Q136" s="492">
        <f t="shared" si="69"/>
        <v>0</v>
      </c>
      <c r="R136" s="492">
        <f>SUM(R137:R139)</f>
        <v>0</v>
      </c>
      <c r="S136" s="795"/>
      <c r="T136" s="795"/>
      <c r="U136" s="493">
        <f aca="true" t="shared" si="70" ref="U136:AD136">SUM(U137:U139)</f>
        <v>172</v>
      </c>
      <c r="V136" s="492">
        <f t="shared" si="70"/>
        <v>47</v>
      </c>
      <c r="W136" s="577">
        <f t="shared" si="70"/>
        <v>25.02119398015531</v>
      </c>
      <c r="X136" s="577">
        <f t="shared" si="70"/>
        <v>0.6980000000000001</v>
      </c>
      <c r="Y136" s="577">
        <f t="shared" si="70"/>
        <v>22.1176872</v>
      </c>
      <c r="Z136" s="577">
        <f t="shared" si="70"/>
        <v>0.1</v>
      </c>
      <c r="AA136" s="577">
        <f t="shared" si="70"/>
        <v>1.5739910255221936</v>
      </c>
      <c r="AB136" s="577">
        <f t="shared" si="70"/>
        <v>0.191</v>
      </c>
      <c r="AC136" s="577">
        <f t="shared" si="70"/>
        <v>1.3295157546331162</v>
      </c>
      <c r="AD136" s="685">
        <f t="shared" si="70"/>
        <v>0.3629</v>
      </c>
      <c r="AE136" s="554"/>
      <c r="AF136" s="562">
        <f>SUM(AF137:AF139)</f>
        <v>100</v>
      </c>
      <c r="AG136" s="562">
        <f>SUM(AG137:AG139)</f>
        <v>72</v>
      </c>
      <c r="AH136" s="554"/>
      <c r="AI136" s="554"/>
      <c r="AJ136" s="555">
        <v>106.23302983559877</v>
      </c>
      <c r="AK136" s="556">
        <v>105.1948604625895</v>
      </c>
      <c r="AL136" s="555">
        <v>104.86113485125321</v>
      </c>
      <c r="AM136" s="554">
        <v>12</v>
      </c>
      <c r="AN136" s="554">
        <v>1000000</v>
      </c>
      <c r="AO136" s="554">
        <v>0.12</v>
      </c>
      <c r="AP136" s="563">
        <f t="shared" si="49"/>
        <v>0</v>
      </c>
      <c r="AQ136" s="563">
        <f t="shared" si="45"/>
        <v>0</v>
      </c>
      <c r="AR136" s="563">
        <f t="shared" si="46"/>
        <v>0</v>
      </c>
      <c r="AS136" s="554">
        <v>0.18</v>
      </c>
      <c r="AT136" s="563">
        <f t="shared" si="44"/>
        <v>35.00160768</v>
      </c>
      <c r="AU136" s="564"/>
      <c r="AV136" s="564"/>
      <c r="AX136" s="565"/>
      <c r="AY136" s="565"/>
      <c r="AZ136" s="566"/>
    </row>
    <row r="137" spans="1:52" s="553" customFormat="1" ht="18" customHeight="1">
      <c r="A137" s="795"/>
      <c r="B137" s="827"/>
      <c r="C137" s="827"/>
      <c r="D137" s="632" t="s">
        <v>600</v>
      </c>
      <c r="E137" s="577">
        <f>G137+I137+K137+M137+O137+Q137</f>
        <v>101.52279999999999</v>
      </c>
      <c r="F137" s="577">
        <f>F141+F145+F149+F153+F161+F169+F173+F177</f>
        <v>74.91779</v>
      </c>
      <c r="G137" s="492">
        <f>G141+G145+G149+G153+G157+G161+G165+G169+G173+G177+G181</f>
        <v>73.92</v>
      </c>
      <c r="H137" s="622">
        <f>H141+H145+H149+H153+H161+H169+H173+H177</f>
        <v>17.266899999999996</v>
      </c>
      <c r="I137" s="577">
        <f aca="true" t="shared" si="71" ref="G137:Q138">I141+I145+I149+I153+I157+I161+I165+I169+I173+I177+I181</f>
        <v>13.929699999999999</v>
      </c>
      <c r="J137" s="577">
        <f>J141+J145+J149+J153+J161+J169+J173+J177</f>
        <v>55.69619999999999</v>
      </c>
      <c r="K137" s="492">
        <f t="shared" si="71"/>
        <v>3.6171</v>
      </c>
      <c r="L137" s="492">
        <f>L141+L145+L149+L153+L161+L169+L173+L177</f>
        <v>1.94883</v>
      </c>
      <c r="M137" s="492">
        <f t="shared" si="71"/>
        <v>10.056</v>
      </c>
      <c r="N137" s="622"/>
      <c r="O137" s="492">
        <f t="shared" si="71"/>
        <v>0</v>
      </c>
      <c r="P137" s="492"/>
      <c r="Q137" s="492">
        <f t="shared" si="71"/>
        <v>0</v>
      </c>
      <c r="R137" s="492"/>
      <c r="S137" s="795"/>
      <c r="T137" s="795"/>
      <c r="U137" s="493">
        <f>U141+U145+U149+U153+U157+U161+U165+U169+U173+U177+U181</f>
        <v>172</v>
      </c>
      <c r="V137" s="493">
        <v>41</v>
      </c>
      <c r="W137" s="577">
        <f>SUM(Y137:AC137)</f>
        <v>13.867969180155308</v>
      </c>
      <c r="X137" s="577"/>
      <c r="Y137" s="577">
        <f aca="true" t="shared" si="72" ref="Y137:AC139">Y141+Y145+Y149+Y153+Y157+Y161+Y165+Y169+Y173+Y177+Y181</f>
        <v>10.964462399999999</v>
      </c>
      <c r="Z137" s="577"/>
      <c r="AA137" s="577">
        <f t="shared" si="72"/>
        <v>1.5739910255221936</v>
      </c>
      <c r="AB137" s="577"/>
      <c r="AC137" s="577">
        <f t="shared" si="72"/>
        <v>1.3295157546331162</v>
      </c>
      <c r="AD137" s="696"/>
      <c r="AE137" s="554"/>
      <c r="AF137" s="562">
        <f aca="true" t="shared" si="73" ref="AF137:AG139">AF141+AF145+AF149+AF153+AF157+AF161+AF165+AF169+AF173+AF177+AF181</f>
        <v>100</v>
      </c>
      <c r="AG137" s="562">
        <f t="shared" si="73"/>
        <v>72</v>
      </c>
      <c r="AH137" s="554"/>
      <c r="AI137" s="554"/>
      <c r="AJ137" s="555">
        <v>106.23302983559877</v>
      </c>
      <c r="AK137" s="556">
        <v>105.1948604625895</v>
      </c>
      <c r="AL137" s="555">
        <v>104.86113485125321</v>
      </c>
      <c r="AM137" s="554">
        <v>12</v>
      </c>
      <c r="AN137" s="554">
        <v>1000000</v>
      </c>
      <c r="AO137" s="554">
        <v>0.12</v>
      </c>
      <c r="AP137" s="563">
        <f t="shared" si="49"/>
        <v>0</v>
      </c>
      <c r="AQ137" s="563">
        <f t="shared" si="45"/>
        <v>0</v>
      </c>
      <c r="AR137" s="563">
        <f t="shared" si="46"/>
        <v>0</v>
      </c>
      <c r="AS137" s="554">
        <v>0.18</v>
      </c>
      <c r="AT137" s="563">
        <f t="shared" si="44"/>
        <v>10.964462399999999</v>
      </c>
      <c r="AU137" s="564"/>
      <c r="AV137" s="564"/>
      <c r="AX137" s="565"/>
      <c r="AY137" s="565"/>
      <c r="AZ137" s="566"/>
    </row>
    <row r="138" spans="1:52" s="553" customFormat="1" ht="18" customHeight="1">
      <c r="A138" s="795"/>
      <c r="B138" s="827"/>
      <c r="C138" s="827"/>
      <c r="D138" s="632">
        <v>2014</v>
      </c>
      <c r="E138" s="577">
        <f>G138+I138+K138+O138+Q138+M138</f>
        <v>21.8433</v>
      </c>
      <c r="F138" s="577">
        <f>F142+F146+F150+F154+F162+F170+F174+F178+F158</f>
        <v>41.002629999999996</v>
      </c>
      <c r="G138" s="492">
        <f t="shared" si="71"/>
        <v>21.24</v>
      </c>
      <c r="H138" s="622">
        <f>H142+H146+H150+H154+H162+H170+H174+H178+H158</f>
        <v>31.66</v>
      </c>
      <c r="I138" s="577">
        <f t="shared" si="71"/>
        <v>0.0996</v>
      </c>
      <c r="J138" s="577">
        <f>J142+J146+J150+J154+J162+J170+J174+J178+J158</f>
        <v>8.879999999999999</v>
      </c>
      <c r="K138" s="492">
        <f t="shared" si="71"/>
        <v>0.43870000000000003</v>
      </c>
      <c r="L138" s="492">
        <f>L142+L146+L150+L154+L162+L170+L174+L178+L158</f>
        <v>0.27763</v>
      </c>
      <c r="M138" s="492">
        <f t="shared" si="71"/>
        <v>0.065</v>
      </c>
      <c r="N138" s="622">
        <f>N142+N146+N150+N154+N162+N170+N174+N178+N158</f>
        <v>0.125</v>
      </c>
      <c r="O138" s="492">
        <f t="shared" si="71"/>
        <v>0</v>
      </c>
      <c r="P138" s="492">
        <f>P142+P146+P150+P154+P162+P170+P174+P178+P158</f>
        <v>0</v>
      </c>
      <c r="Q138" s="492">
        <f t="shared" si="71"/>
        <v>0</v>
      </c>
      <c r="R138" s="492">
        <f>R142+R146+R150+R154+R162+R170+R174+R178+R158</f>
        <v>0</v>
      </c>
      <c r="S138" s="795"/>
      <c r="T138" s="795"/>
      <c r="U138" s="493">
        <f>U142+U146+U150+U154+U158+U162+U166+U170+U174+U178+U182</f>
        <v>0</v>
      </c>
      <c r="V138" s="492">
        <f>V142+V146+V150+V154+V162+V170+V174+V178</f>
        <v>0</v>
      </c>
      <c r="W138" s="577">
        <f>Y138+AA138+AC138</f>
        <v>2.3590764</v>
      </c>
      <c r="X138" s="577">
        <f>X162+X166</f>
        <v>0.648</v>
      </c>
      <c r="Y138" s="577">
        <f t="shared" si="72"/>
        <v>2.3590764</v>
      </c>
      <c r="Z138" s="577">
        <v>0.1</v>
      </c>
      <c r="AA138" s="577">
        <f t="shared" si="72"/>
        <v>0</v>
      </c>
      <c r="AB138" s="577">
        <f>AB162</f>
        <v>0.157</v>
      </c>
      <c r="AC138" s="577">
        <f t="shared" si="72"/>
        <v>0</v>
      </c>
      <c r="AD138" s="696">
        <f>AD162+AD166</f>
        <v>0.347</v>
      </c>
      <c r="AE138" s="554"/>
      <c r="AF138" s="562">
        <f t="shared" si="73"/>
        <v>0</v>
      </c>
      <c r="AG138" s="562">
        <f t="shared" si="73"/>
        <v>0</v>
      </c>
      <c r="AH138" s="554"/>
      <c r="AI138" s="554"/>
      <c r="AJ138" s="555">
        <v>106.23302983559877</v>
      </c>
      <c r="AK138" s="556">
        <v>105.1948604625895</v>
      </c>
      <c r="AL138" s="555">
        <v>104.86113485125321</v>
      </c>
      <c r="AM138" s="554">
        <v>12</v>
      </c>
      <c r="AN138" s="554">
        <v>1000000</v>
      </c>
      <c r="AO138" s="554">
        <v>0.12</v>
      </c>
      <c r="AP138" s="563">
        <f t="shared" si="49"/>
        <v>0</v>
      </c>
      <c r="AQ138" s="563">
        <f t="shared" si="45"/>
        <v>0</v>
      </c>
      <c r="AR138" s="563">
        <f t="shared" si="46"/>
        <v>0</v>
      </c>
      <c r="AS138" s="554">
        <v>0.18</v>
      </c>
      <c r="AT138" s="563">
        <f t="shared" si="44"/>
        <v>2.3590763999999997</v>
      </c>
      <c r="AU138" s="564"/>
      <c r="AV138" s="564"/>
      <c r="AX138" s="565"/>
      <c r="AY138" s="565"/>
      <c r="AZ138" s="566"/>
    </row>
    <row r="139" spans="1:52" s="644" customFormat="1" ht="18" customHeight="1">
      <c r="A139" s="795"/>
      <c r="B139" s="827"/>
      <c r="C139" s="827"/>
      <c r="D139" s="655">
        <v>2015</v>
      </c>
      <c r="E139" s="646">
        <f>E143+E147+E151+E155+E159+E163+E167+E171+E175+E179+E183</f>
        <v>81.4273</v>
      </c>
      <c r="F139" s="646">
        <f>F143+F147+F151+F155+F159+F163+F167+F171+F175+F179+F183</f>
        <v>64.276</v>
      </c>
      <c r="G139" s="635">
        <f aca="true" t="shared" si="74" ref="G139:Q139">G143+G147+G151+G155+G159+G163+G167+G171+G175+G179+G183</f>
        <v>20.24</v>
      </c>
      <c r="H139" s="661">
        <f>H143+H147+H151+H155+H159+H163+H167+H171+H175+H179+H183</f>
        <v>52.07</v>
      </c>
      <c r="I139" s="646">
        <f t="shared" si="74"/>
        <v>0.06</v>
      </c>
      <c r="J139" s="646">
        <f>J143+J147+J151+J155+J159+J163+J167+J171+J175+J179+J183</f>
        <v>7.148</v>
      </c>
      <c r="K139" s="635">
        <f t="shared" si="74"/>
        <v>0.2283</v>
      </c>
      <c r="L139" s="661">
        <f>L143+L147+L151+L155+L159+L163+L167+L171+L175+L179+L183</f>
        <v>4.6080000000000005</v>
      </c>
      <c r="M139" s="635">
        <f t="shared" si="74"/>
        <v>0.074</v>
      </c>
      <c r="N139" s="661">
        <f>N143+N147+N151+N155+N159+N163+N167+N171+N175+N179+N183</f>
        <v>0.44</v>
      </c>
      <c r="O139" s="635">
        <f t="shared" si="74"/>
        <v>0</v>
      </c>
      <c r="P139" s="656">
        <f>P143+P147+P151+P155+P159+P163+P167+P171+P175+P179+P183</f>
        <v>0</v>
      </c>
      <c r="Q139" s="635">
        <f t="shared" si="74"/>
        <v>0</v>
      </c>
      <c r="R139" s="656">
        <f>R143+R147+R151+R155+R159+R163+R167+R171+R175+R179+R183</f>
        <v>0</v>
      </c>
      <c r="S139" s="795"/>
      <c r="T139" s="795"/>
      <c r="U139" s="637">
        <f>U143+U147+U151+U155+U159+U163+U167+U171+U175+U179+U183</f>
        <v>0</v>
      </c>
      <c r="V139" s="645">
        <f>V143+V147+V151+V155+V159+V163+V167+V171+V175+V179+V183</f>
        <v>6</v>
      </c>
      <c r="W139" s="646">
        <f>SUM(Y139+AA139+AC139)</f>
        <v>8.7941484</v>
      </c>
      <c r="X139" s="646">
        <f>X143+X147+X151+X155+X159+X163+X167+X171+X175+X179+X183</f>
        <v>0.05</v>
      </c>
      <c r="Y139" s="646">
        <f>SUM(Y143+Y147+Y151+Y155+Y159+Y163+Y167+Y171+Y175+Y179+Y183)</f>
        <v>8.7941484</v>
      </c>
      <c r="Z139" s="646">
        <f>Z143+Z147+Z151+Z155+Z159+Z163+Z167+Z171+Z175+Z179+Z183</f>
        <v>0</v>
      </c>
      <c r="AA139" s="646">
        <f t="shared" si="72"/>
        <v>0</v>
      </c>
      <c r="AB139" s="646">
        <f>AB143+AB147+AB151+AB155+AB159+AB163+AB167+AB171+AB175+AB179+AB183</f>
        <v>0.034</v>
      </c>
      <c r="AC139" s="646">
        <f t="shared" si="72"/>
        <v>0</v>
      </c>
      <c r="AD139" s="661">
        <f>AD143+AD147+AD151+AD155+AD159+AD163+AD167+AD171+AD175+AD179+AD183</f>
        <v>0.0159</v>
      </c>
      <c r="AE139" s="638"/>
      <c r="AF139" s="657">
        <f t="shared" si="73"/>
        <v>0</v>
      </c>
      <c r="AG139" s="657">
        <f t="shared" si="73"/>
        <v>0</v>
      </c>
      <c r="AH139" s="638"/>
      <c r="AI139" s="638"/>
      <c r="AJ139" s="641">
        <v>106.23302983559877</v>
      </c>
      <c r="AK139" s="642">
        <v>105.1948604625895</v>
      </c>
      <c r="AL139" s="641">
        <v>104.86113485125321</v>
      </c>
      <c r="AM139" s="638">
        <v>12</v>
      </c>
      <c r="AN139" s="638">
        <v>1000000</v>
      </c>
      <c r="AO139" s="638">
        <v>0.12</v>
      </c>
      <c r="AP139" s="643">
        <f t="shared" si="49"/>
        <v>0</v>
      </c>
      <c r="AQ139" s="643">
        <f t="shared" si="45"/>
        <v>0</v>
      </c>
      <c r="AR139" s="643">
        <f t="shared" si="46"/>
        <v>0</v>
      </c>
      <c r="AS139" s="638">
        <v>0.18</v>
      </c>
      <c r="AT139" s="643">
        <f t="shared" si="44"/>
        <v>8.7941484</v>
      </c>
      <c r="AU139" s="664"/>
      <c r="AV139" s="664"/>
      <c r="AX139" s="665"/>
      <c r="AY139" s="665"/>
      <c r="AZ139" s="666"/>
    </row>
    <row r="140" spans="1:52" ht="30" customHeight="1">
      <c r="A140" s="743">
        <v>1</v>
      </c>
      <c r="B140" s="746" t="s">
        <v>268</v>
      </c>
      <c r="C140" s="746" t="s">
        <v>283</v>
      </c>
      <c r="D140" s="568" t="s">
        <v>273</v>
      </c>
      <c r="E140" s="578">
        <f>SUM(G140:Q140)</f>
        <v>32.895</v>
      </c>
      <c r="F140" s="578"/>
      <c r="G140" s="569">
        <f aca="true" t="shared" si="75" ref="G140:Q140">SUM(G141:G143)</f>
        <v>25</v>
      </c>
      <c r="H140" s="586"/>
      <c r="I140" s="578">
        <f t="shared" si="75"/>
        <v>6.25</v>
      </c>
      <c r="J140" s="578"/>
      <c r="K140" s="569">
        <f t="shared" si="75"/>
        <v>1.645</v>
      </c>
      <c r="L140" s="586"/>
      <c r="M140" s="569">
        <f t="shared" si="75"/>
        <v>0</v>
      </c>
      <c r="N140" s="586"/>
      <c r="O140" s="569">
        <f t="shared" si="75"/>
        <v>0</v>
      </c>
      <c r="P140" s="569"/>
      <c r="Q140" s="569">
        <f t="shared" si="75"/>
        <v>0</v>
      </c>
      <c r="R140" s="581"/>
      <c r="S140" s="743" t="s">
        <v>393</v>
      </c>
      <c r="T140" s="768" t="s">
        <v>291</v>
      </c>
      <c r="U140" s="493">
        <f>SUM(U141:U143)</f>
        <v>50</v>
      </c>
      <c r="V140" s="493"/>
      <c r="W140" s="577">
        <f>SUM(W141:W143)</f>
        <v>4.3967026686498</v>
      </c>
      <c r="X140" s="577"/>
      <c r="Y140" s="577">
        <f>SUM(Y141:Y143)</f>
        <v>3.5526600000000004</v>
      </c>
      <c r="Z140" s="577"/>
      <c r="AA140" s="577">
        <f>SUM(AA141:AA143)</f>
        <v>0.4575555306750563</v>
      </c>
      <c r="AB140" s="577"/>
      <c r="AC140" s="577">
        <f>SUM(AC141:AC143)</f>
        <v>0.3864871379747431</v>
      </c>
      <c r="AD140" s="700"/>
      <c r="AF140" s="520"/>
      <c r="AG140" s="520"/>
      <c r="AH140" s="512">
        <v>11035</v>
      </c>
      <c r="AJ140" s="513">
        <v>106.23302983559877</v>
      </c>
      <c r="AK140" s="514">
        <v>105.1948604625895</v>
      </c>
      <c r="AL140" s="513">
        <v>104.86113485125321</v>
      </c>
      <c r="AM140" s="512">
        <v>12</v>
      </c>
      <c r="AN140" s="512">
        <v>1000000</v>
      </c>
      <c r="AO140" s="512">
        <v>0.12</v>
      </c>
      <c r="AP140" s="523">
        <f t="shared" si="49"/>
        <v>0</v>
      </c>
      <c r="AQ140" s="523">
        <f t="shared" si="45"/>
        <v>0</v>
      </c>
      <c r="AR140" s="523">
        <f t="shared" si="46"/>
        <v>0</v>
      </c>
      <c r="AS140" s="512">
        <v>0.18</v>
      </c>
      <c r="AT140" s="523">
        <f t="shared" si="44"/>
        <v>3.5526600000000004</v>
      </c>
      <c r="AU140" s="526"/>
      <c r="AV140" s="526"/>
      <c r="AX140" s="527"/>
      <c r="AY140" s="527"/>
      <c r="AZ140" s="528"/>
    </row>
    <row r="141" spans="1:52" ht="30" customHeight="1">
      <c r="A141" s="744"/>
      <c r="B141" s="747"/>
      <c r="C141" s="747"/>
      <c r="D141" s="568">
        <v>2013</v>
      </c>
      <c r="E141" s="578">
        <f>G141+I141+K141+M141+O141+Q141</f>
        <v>32.895</v>
      </c>
      <c r="F141" s="578">
        <v>7.456</v>
      </c>
      <c r="G141" s="569">
        <v>25</v>
      </c>
      <c r="H141" s="586"/>
      <c r="I141" s="578">
        <v>6.25</v>
      </c>
      <c r="J141" s="578">
        <v>7.08</v>
      </c>
      <c r="K141" s="569">
        <v>1.645</v>
      </c>
      <c r="L141" s="586">
        <v>0.37</v>
      </c>
      <c r="M141" s="569">
        <v>0</v>
      </c>
      <c r="N141" s="586"/>
      <c r="O141" s="569">
        <v>0</v>
      </c>
      <c r="P141" s="569"/>
      <c r="Q141" s="569">
        <v>0</v>
      </c>
      <c r="R141" s="582"/>
      <c r="S141" s="744"/>
      <c r="T141" s="769"/>
      <c r="U141" s="493">
        <f>AE141</f>
        <v>50</v>
      </c>
      <c r="V141" s="493"/>
      <c r="W141" s="577">
        <f>SUM(Y141:AC141)</f>
        <v>4.3967026686498</v>
      </c>
      <c r="X141" s="577"/>
      <c r="Y141" s="577">
        <f>AT141</f>
        <v>3.5526600000000004</v>
      </c>
      <c r="Z141" s="577"/>
      <c r="AA141" s="577">
        <f>AR141</f>
        <v>0.4575555306750563</v>
      </c>
      <c r="AB141" s="577"/>
      <c r="AC141" s="577">
        <f>AQ141</f>
        <v>0.3864871379747431</v>
      </c>
      <c r="AD141" s="700"/>
      <c r="AE141" s="512">
        <f aca="true" t="shared" si="76" ref="AE141:AE196">AF141+AG141</f>
        <v>50</v>
      </c>
      <c r="AF141" s="542">
        <v>0</v>
      </c>
      <c r="AG141" s="512">
        <v>50</v>
      </c>
      <c r="AH141" s="512">
        <v>11035</v>
      </c>
      <c r="AJ141" s="513">
        <v>106.23302983559877</v>
      </c>
      <c r="AK141" s="514">
        <v>105.1948604625895</v>
      </c>
      <c r="AL141" s="513">
        <v>104.86113485125321</v>
      </c>
      <c r="AM141" s="512">
        <v>12</v>
      </c>
      <c r="AN141" s="512">
        <v>1000000</v>
      </c>
      <c r="AO141" s="512">
        <v>0.12</v>
      </c>
      <c r="AP141" s="523">
        <f t="shared" si="49"/>
        <v>0.8440426686497994</v>
      </c>
      <c r="AQ141" s="523">
        <f t="shared" si="45"/>
        <v>0.3864871379747431</v>
      </c>
      <c r="AR141" s="523">
        <f t="shared" si="46"/>
        <v>0.4575555306750563</v>
      </c>
      <c r="AS141" s="512">
        <v>0.18</v>
      </c>
      <c r="AT141" s="523">
        <f t="shared" si="44"/>
        <v>3.5526600000000004</v>
      </c>
      <c r="AU141" s="526"/>
      <c r="AV141" s="526"/>
      <c r="AX141" s="527"/>
      <c r="AY141" s="527"/>
      <c r="AZ141" s="528"/>
    </row>
    <row r="142" spans="1:52" ht="30" customHeight="1">
      <c r="A142" s="744"/>
      <c r="B142" s="747"/>
      <c r="C142" s="747"/>
      <c r="D142" s="568">
        <v>2014</v>
      </c>
      <c r="E142" s="578">
        <v>0</v>
      </c>
      <c r="F142" s="578">
        <f>H142+J142+L142+N142+P142+R142</f>
        <v>2.0526299999999997</v>
      </c>
      <c r="G142" s="569">
        <v>0</v>
      </c>
      <c r="H142" s="586">
        <v>0</v>
      </c>
      <c r="I142" s="578">
        <v>0</v>
      </c>
      <c r="J142" s="578">
        <v>1.95</v>
      </c>
      <c r="K142" s="569">
        <v>0</v>
      </c>
      <c r="L142" s="586">
        <v>0.10263</v>
      </c>
      <c r="M142" s="569">
        <v>0</v>
      </c>
      <c r="N142" s="586">
        <v>0</v>
      </c>
      <c r="O142" s="569">
        <v>0</v>
      </c>
      <c r="P142" s="569">
        <v>0</v>
      </c>
      <c r="Q142" s="569">
        <v>0</v>
      </c>
      <c r="R142" s="582">
        <v>0</v>
      </c>
      <c r="S142" s="744"/>
      <c r="T142" s="769"/>
      <c r="U142" s="493">
        <f>AE142</f>
        <v>0</v>
      </c>
      <c r="V142" s="493"/>
      <c r="W142" s="577">
        <f>SUM(Y142:AC142)</f>
        <v>0</v>
      </c>
      <c r="X142" s="577"/>
      <c r="Y142" s="577">
        <f>AT142</f>
        <v>0</v>
      </c>
      <c r="Z142" s="577"/>
      <c r="AA142" s="577">
        <f>AR142</f>
        <v>0</v>
      </c>
      <c r="AB142" s="577"/>
      <c r="AC142" s="577">
        <f>AQ142</f>
        <v>0</v>
      </c>
      <c r="AD142" s="700"/>
      <c r="AE142" s="512">
        <f t="shared" si="76"/>
        <v>0</v>
      </c>
      <c r="AF142" s="542">
        <v>0</v>
      </c>
      <c r="AH142" s="512">
        <v>11035</v>
      </c>
      <c r="AJ142" s="513">
        <v>106.23302983559877</v>
      </c>
      <c r="AK142" s="514">
        <v>105.1948604625895</v>
      </c>
      <c r="AL142" s="513">
        <v>104.86113485125321</v>
      </c>
      <c r="AM142" s="512">
        <v>12</v>
      </c>
      <c r="AN142" s="512">
        <v>1000000</v>
      </c>
      <c r="AO142" s="512">
        <v>0.12</v>
      </c>
      <c r="AP142" s="523">
        <f t="shared" si="49"/>
        <v>0</v>
      </c>
      <c r="AQ142" s="523">
        <f t="shared" si="45"/>
        <v>0</v>
      </c>
      <c r="AR142" s="523">
        <f t="shared" si="46"/>
        <v>0</v>
      </c>
      <c r="AS142" s="512">
        <v>0.18</v>
      </c>
      <c r="AT142" s="523">
        <f t="shared" si="44"/>
        <v>0</v>
      </c>
      <c r="AU142" s="526"/>
      <c r="AV142" s="526"/>
      <c r="AX142" s="527"/>
      <c r="AY142" s="527"/>
      <c r="AZ142" s="528"/>
    </row>
    <row r="143" spans="1:52" ht="30" customHeight="1">
      <c r="A143" s="745"/>
      <c r="B143" s="748"/>
      <c r="C143" s="748"/>
      <c r="D143" s="491">
        <v>2015</v>
      </c>
      <c r="E143" s="578">
        <f>SUM(G143:Q143)</f>
        <v>0</v>
      </c>
      <c r="F143" s="578">
        <v>0</v>
      </c>
      <c r="G143" s="569">
        <v>0</v>
      </c>
      <c r="H143" s="586"/>
      <c r="I143" s="578">
        <v>0</v>
      </c>
      <c r="J143" s="578"/>
      <c r="K143" s="569">
        <v>0</v>
      </c>
      <c r="L143" s="586"/>
      <c r="M143" s="569">
        <v>0</v>
      </c>
      <c r="N143" s="586"/>
      <c r="O143" s="569">
        <v>0</v>
      </c>
      <c r="P143" s="569"/>
      <c r="Q143" s="569">
        <v>0</v>
      </c>
      <c r="R143" s="583"/>
      <c r="S143" s="745"/>
      <c r="T143" s="770"/>
      <c r="U143" s="493">
        <f>AE143</f>
        <v>0</v>
      </c>
      <c r="V143" s="493"/>
      <c r="W143" s="577">
        <f>SUM(Y143:AC143)</f>
        <v>0</v>
      </c>
      <c r="X143" s="577"/>
      <c r="Y143" s="577">
        <f>AT143</f>
        <v>0</v>
      </c>
      <c r="Z143" s="577"/>
      <c r="AA143" s="577">
        <f>AR143</f>
        <v>0</v>
      </c>
      <c r="AB143" s="577"/>
      <c r="AC143" s="577">
        <f>AQ143</f>
        <v>0</v>
      </c>
      <c r="AD143" s="700"/>
      <c r="AE143" s="512">
        <f t="shared" si="76"/>
        <v>0</v>
      </c>
      <c r="AF143" s="542">
        <v>0</v>
      </c>
      <c r="AH143" s="512">
        <v>11035</v>
      </c>
      <c r="AJ143" s="513">
        <v>106.23302983559877</v>
      </c>
      <c r="AK143" s="514">
        <v>105.1948604625895</v>
      </c>
      <c r="AL143" s="513">
        <v>104.86113485125321</v>
      </c>
      <c r="AM143" s="512">
        <v>12</v>
      </c>
      <c r="AN143" s="512">
        <v>1000000</v>
      </c>
      <c r="AO143" s="512">
        <v>0.12</v>
      </c>
      <c r="AP143" s="523">
        <f t="shared" si="49"/>
        <v>0</v>
      </c>
      <c r="AQ143" s="523">
        <f t="shared" si="45"/>
        <v>0</v>
      </c>
      <c r="AR143" s="523">
        <f t="shared" si="46"/>
        <v>0</v>
      </c>
      <c r="AS143" s="512">
        <v>0.18</v>
      </c>
      <c r="AT143" s="523">
        <f t="shared" si="44"/>
        <v>0</v>
      </c>
      <c r="AU143" s="526"/>
      <c r="AV143" s="526"/>
      <c r="AX143" s="527"/>
      <c r="AY143" s="527"/>
      <c r="AZ143" s="528"/>
    </row>
    <row r="144" spans="1:52" ht="30" customHeight="1">
      <c r="A144" s="743">
        <v>2</v>
      </c>
      <c r="B144" s="746" t="s">
        <v>509</v>
      </c>
      <c r="C144" s="746" t="s">
        <v>510</v>
      </c>
      <c r="D144" s="568" t="s">
        <v>273</v>
      </c>
      <c r="E144" s="578">
        <f>SUM(G144:Q144)</f>
        <v>1.05</v>
      </c>
      <c r="F144" s="578"/>
      <c r="G144" s="569">
        <f aca="true" t="shared" si="77" ref="G144:Q144">SUM(G145:G147)</f>
        <v>1</v>
      </c>
      <c r="H144" s="586"/>
      <c r="I144" s="578">
        <f t="shared" si="77"/>
        <v>0.0396</v>
      </c>
      <c r="J144" s="578"/>
      <c r="K144" s="575">
        <f t="shared" si="77"/>
        <v>0.0104</v>
      </c>
      <c r="L144" s="586"/>
      <c r="M144" s="569">
        <f t="shared" si="77"/>
        <v>0</v>
      </c>
      <c r="N144" s="586"/>
      <c r="O144" s="569">
        <f t="shared" si="77"/>
        <v>0</v>
      </c>
      <c r="P144" s="569"/>
      <c r="Q144" s="569">
        <f t="shared" si="77"/>
        <v>0</v>
      </c>
      <c r="R144" s="581"/>
      <c r="S144" s="743"/>
      <c r="T144" s="743"/>
      <c r="U144" s="493">
        <f>SUM(U145:U147)</f>
        <v>5</v>
      </c>
      <c r="V144" s="493"/>
      <c r="W144" s="577">
        <f>SUM(W145:W147)</f>
        <v>0.19780426686497993</v>
      </c>
      <c r="X144" s="577"/>
      <c r="Y144" s="577">
        <f>SUM(Y145:Y147)</f>
        <v>0.1134</v>
      </c>
      <c r="Z144" s="577"/>
      <c r="AA144" s="577">
        <f>SUM(AA145:AA147)</f>
        <v>0.045755553067505624</v>
      </c>
      <c r="AB144" s="577"/>
      <c r="AC144" s="577">
        <f>SUM(AC145:AC147)</f>
        <v>0.0386487137974743</v>
      </c>
      <c r="AD144" s="700"/>
      <c r="AE144" s="525"/>
      <c r="AF144" s="520"/>
      <c r="AG144" s="520"/>
      <c r="AH144" s="512">
        <v>11035</v>
      </c>
      <c r="AJ144" s="513">
        <v>106.23302983559877</v>
      </c>
      <c r="AK144" s="514">
        <v>105.1948604625895</v>
      </c>
      <c r="AL144" s="513">
        <v>104.86113485125321</v>
      </c>
      <c r="AM144" s="512">
        <v>12</v>
      </c>
      <c r="AN144" s="512">
        <v>1000000</v>
      </c>
      <c r="AO144" s="512">
        <v>0.12</v>
      </c>
      <c r="AP144" s="523">
        <f t="shared" si="49"/>
        <v>0</v>
      </c>
      <c r="AQ144" s="523">
        <f t="shared" si="45"/>
        <v>0</v>
      </c>
      <c r="AR144" s="523">
        <f t="shared" si="46"/>
        <v>0</v>
      </c>
      <c r="AS144" s="512">
        <v>0.18</v>
      </c>
      <c r="AT144" s="523">
        <f t="shared" si="44"/>
        <v>0.1134</v>
      </c>
      <c r="AU144" s="526"/>
      <c r="AV144" s="526"/>
      <c r="AX144" s="527"/>
      <c r="AY144" s="527"/>
      <c r="AZ144" s="528"/>
    </row>
    <row r="145" spans="1:52" ht="30" customHeight="1">
      <c r="A145" s="744"/>
      <c r="B145" s="747"/>
      <c r="C145" s="747"/>
      <c r="D145" s="568">
        <v>2013</v>
      </c>
      <c r="E145" s="578">
        <f>G145+I145+K145+M145+O145+Q145</f>
        <v>1.05</v>
      </c>
      <c r="F145" s="578">
        <f>0.0273+0.01323+0.00105</f>
        <v>0.041580000000000006</v>
      </c>
      <c r="G145" s="575">
        <v>1</v>
      </c>
      <c r="H145" s="586"/>
      <c r="I145" s="578">
        <v>0.0396</v>
      </c>
      <c r="J145" s="578">
        <f>0.026+0.0126+0.001</f>
        <v>0.039599999999999996</v>
      </c>
      <c r="K145" s="575">
        <v>0.0104</v>
      </c>
      <c r="L145" s="586">
        <f>(1.3+0.63+0.05)/1000</f>
        <v>0.00198</v>
      </c>
      <c r="M145" s="569">
        <v>0</v>
      </c>
      <c r="N145" s="586"/>
      <c r="O145" s="569">
        <v>0</v>
      </c>
      <c r="P145" s="569"/>
      <c r="Q145" s="569">
        <v>0</v>
      </c>
      <c r="R145" s="582"/>
      <c r="S145" s="744"/>
      <c r="T145" s="744"/>
      <c r="U145" s="493">
        <f>AE145</f>
        <v>5</v>
      </c>
      <c r="V145" s="493"/>
      <c r="W145" s="577">
        <f>SUM(Y145:AC145)</f>
        <v>0.19780426686497993</v>
      </c>
      <c r="X145" s="577"/>
      <c r="Y145" s="577">
        <f>AT145</f>
        <v>0.1134</v>
      </c>
      <c r="Z145" s="577"/>
      <c r="AA145" s="577">
        <f>AR145</f>
        <v>0.045755553067505624</v>
      </c>
      <c r="AB145" s="577"/>
      <c r="AC145" s="577">
        <f>AQ145</f>
        <v>0.0386487137974743</v>
      </c>
      <c r="AD145" s="700"/>
      <c r="AE145" s="512">
        <f t="shared" si="76"/>
        <v>5</v>
      </c>
      <c r="AF145" s="542">
        <v>0</v>
      </c>
      <c r="AG145" s="512">
        <v>5</v>
      </c>
      <c r="AH145" s="512">
        <v>11035</v>
      </c>
      <c r="AJ145" s="513">
        <v>106.23302983559877</v>
      </c>
      <c r="AK145" s="514">
        <v>105.1948604625895</v>
      </c>
      <c r="AL145" s="513">
        <v>104.86113485125321</v>
      </c>
      <c r="AM145" s="512">
        <v>12</v>
      </c>
      <c r="AN145" s="512">
        <v>1000000</v>
      </c>
      <c r="AO145" s="512">
        <v>0.12</v>
      </c>
      <c r="AP145" s="523">
        <f t="shared" si="49"/>
        <v>0.08440426686497993</v>
      </c>
      <c r="AQ145" s="523">
        <f t="shared" si="45"/>
        <v>0.0386487137974743</v>
      </c>
      <c r="AR145" s="523">
        <f t="shared" si="46"/>
        <v>0.045755553067505624</v>
      </c>
      <c r="AS145" s="512">
        <v>0.18</v>
      </c>
      <c r="AT145" s="523">
        <f t="shared" si="44"/>
        <v>0.1134</v>
      </c>
      <c r="AU145" s="526"/>
      <c r="AV145" s="526"/>
      <c r="AX145" s="527"/>
      <c r="AY145" s="527"/>
      <c r="AZ145" s="528"/>
    </row>
    <row r="146" spans="1:52" ht="30" customHeight="1">
      <c r="A146" s="744"/>
      <c r="B146" s="747"/>
      <c r="C146" s="747"/>
      <c r="D146" s="568">
        <v>2014</v>
      </c>
      <c r="E146" s="578">
        <v>0</v>
      </c>
      <c r="F146" s="578">
        <v>0</v>
      </c>
      <c r="G146" s="569">
        <v>0</v>
      </c>
      <c r="H146" s="586"/>
      <c r="I146" s="578">
        <v>0</v>
      </c>
      <c r="J146" s="578"/>
      <c r="K146" s="569">
        <v>0</v>
      </c>
      <c r="L146" s="586"/>
      <c r="M146" s="569">
        <v>0</v>
      </c>
      <c r="N146" s="586"/>
      <c r="O146" s="569">
        <v>0</v>
      </c>
      <c r="P146" s="569"/>
      <c r="Q146" s="569">
        <v>0</v>
      </c>
      <c r="R146" s="582"/>
      <c r="S146" s="744"/>
      <c r="T146" s="744"/>
      <c r="U146" s="493">
        <f>AE146</f>
        <v>0</v>
      </c>
      <c r="V146" s="493"/>
      <c r="W146" s="577">
        <f>SUM(Y146:AC146)</f>
        <v>0</v>
      </c>
      <c r="X146" s="577"/>
      <c r="Y146" s="577">
        <f>AT146</f>
        <v>0</v>
      </c>
      <c r="Z146" s="577"/>
      <c r="AA146" s="577">
        <f>AR146</f>
        <v>0</v>
      </c>
      <c r="AB146" s="577"/>
      <c r="AC146" s="577">
        <f>AQ146</f>
        <v>0</v>
      </c>
      <c r="AD146" s="700"/>
      <c r="AE146" s="512">
        <f t="shared" si="76"/>
        <v>0</v>
      </c>
      <c r="AF146" s="542">
        <v>0</v>
      </c>
      <c r="AH146" s="512">
        <v>11035</v>
      </c>
      <c r="AJ146" s="513">
        <v>106.23302983559877</v>
      </c>
      <c r="AK146" s="514">
        <v>105.1948604625895</v>
      </c>
      <c r="AL146" s="513">
        <v>104.86113485125321</v>
      </c>
      <c r="AM146" s="512">
        <v>12</v>
      </c>
      <c r="AN146" s="512">
        <v>1000000</v>
      </c>
      <c r="AO146" s="512">
        <v>0.12</v>
      </c>
      <c r="AP146" s="523">
        <f t="shared" si="49"/>
        <v>0</v>
      </c>
      <c r="AQ146" s="523">
        <f t="shared" si="45"/>
        <v>0</v>
      </c>
      <c r="AR146" s="523">
        <f t="shared" si="46"/>
        <v>0</v>
      </c>
      <c r="AS146" s="512">
        <v>0.18</v>
      </c>
      <c r="AT146" s="523">
        <f t="shared" si="44"/>
        <v>0</v>
      </c>
      <c r="AU146" s="526"/>
      <c r="AV146" s="526"/>
      <c r="AX146" s="527"/>
      <c r="AY146" s="527"/>
      <c r="AZ146" s="528"/>
    </row>
    <row r="147" spans="1:52" ht="30" customHeight="1">
      <c r="A147" s="745"/>
      <c r="B147" s="748"/>
      <c r="C147" s="748"/>
      <c r="D147" s="491">
        <v>2015</v>
      </c>
      <c r="E147" s="578">
        <v>0</v>
      </c>
      <c r="F147" s="578">
        <v>0</v>
      </c>
      <c r="G147" s="569">
        <v>0</v>
      </c>
      <c r="H147" s="586"/>
      <c r="I147" s="578">
        <v>0</v>
      </c>
      <c r="J147" s="578"/>
      <c r="K147" s="569">
        <v>0</v>
      </c>
      <c r="L147" s="586"/>
      <c r="M147" s="569">
        <v>0</v>
      </c>
      <c r="N147" s="586"/>
      <c r="O147" s="569">
        <v>0</v>
      </c>
      <c r="P147" s="569"/>
      <c r="Q147" s="569">
        <v>0</v>
      </c>
      <c r="R147" s="583"/>
      <c r="S147" s="745"/>
      <c r="T147" s="745"/>
      <c r="U147" s="493">
        <f>AE147</f>
        <v>0</v>
      </c>
      <c r="V147" s="493"/>
      <c r="W147" s="577">
        <f>SUM(Y147:AC147)</f>
        <v>0</v>
      </c>
      <c r="X147" s="577"/>
      <c r="Y147" s="577">
        <f>AT147</f>
        <v>0</v>
      </c>
      <c r="Z147" s="577"/>
      <c r="AA147" s="577">
        <f>AR147</f>
        <v>0</v>
      </c>
      <c r="AB147" s="577"/>
      <c r="AC147" s="577">
        <f>AQ147</f>
        <v>0</v>
      </c>
      <c r="AD147" s="700"/>
      <c r="AE147" s="512">
        <f t="shared" si="76"/>
        <v>0</v>
      </c>
      <c r="AF147" s="542">
        <v>0</v>
      </c>
      <c r="AH147" s="512">
        <v>11035</v>
      </c>
      <c r="AJ147" s="513">
        <v>106.23302983559877</v>
      </c>
      <c r="AK147" s="514">
        <v>105.1948604625895</v>
      </c>
      <c r="AL147" s="513">
        <v>104.86113485125321</v>
      </c>
      <c r="AM147" s="512">
        <v>12</v>
      </c>
      <c r="AN147" s="512">
        <v>1000000</v>
      </c>
      <c r="AO147" s="512">
        <v>0.12</v>
      </c>
      <c r="AP147" s="523">
        <f t="shared" si="49"/>
        <v>0</v>
      </c>
      <c r="AQ147" s="523">
        <f t="shared" si="45"/>
        <v>0</v>
      </c>
      <c r="AR147" s="523">
        <f t="shared" si="46"/>
        <v>0</v>
      </c>
      <c r="AS147" s="512">
        <v>0.18</v>
      </c>
      <c r="AT147" s="523">
        <f t="shared" si="44"/>
        <v>0</v>
      </c>
      <c r="AU147" s="526"/>
      <c r="AV147" s="526"/>
      <c r="AX147" s="527"/>
      <c r="AY147" s="527"/>
      <c r="AZ147" s="528"/>
    </row>
    <row r="148" spans="1:52" ht="32.25" customHeight="1">
      <c r="A148" s="743">
        <v>3</v>
      </c>
      <c r="B148" s="746" t="s">
        <v>511</v>
      </c>
      <c r="C148" s="746" t="s">
        <v>510</v>
      </c>
      <c r="D148" s="568" t="s">
        <v>273</v>
      </c>
      <c r="E148" s="578">
        <f>SUM(G148:Q148)</f>
        <v>0.1694</v>
      </c>
      <c r="F148" s="578"/>
      <c r="G148" s="569">
        <f aca="true" t="shared" si="78" ref="G148:Q148">SUM(G149:G151)</f>
        <v>0</v>
      </c>
      <c r="H148" s="586"/>
      <c r="I148" s="578">
        <f t="shared" si="78"/>
        <v>0.1694</v>
      </c>
      <c r="J148" s="578"/>
      <c r="K148" s="569">
        <f t="shared" si="78"/>
        <v>0</v>
      </c>
      <c r="L148" s="586"/>
      <c r="M148" s="569">
        <f t="shared" si="78"/>
        <v>0</v>
      </c>
      <c r="N148" s="586"/>
      <c r="O148" s="569">
        <f t="shared" si="78"/>
        <v>0</v>
      </c>
      <c r="P148" s="569"/>
      <c r="Q148" s="569">
        <f t="shared" si="78"/>
        <v>0</v>
      </c>
      <c r="R148" s="581"/>
      <c r="S148" s="743"/>
      <c r="T148" s="768" t="s">
        <v>292</v>
      </c>
      <c r="U148" s="493">
        <f>SUM(U149:U151)</f>
        <v>5</v>
      </c>
      <c r="V148" s="493"/>
      <c r="W148" s="577">
        <f>SUM(W149:W151)</f>
        <v>0.10269946686497994</v>
      </c>
      <c r="X148" s="577"/>
      <c r="Y148" s="577">
        <f>SUM(Y149:Y151)</f>
        <v>0.018295199999999998</v>
      </c>
      <c r="Z148" s="577"/>
      <c r="AA148" s="577">
        <f>SUM(AA149:AA151)</f>
        <v>0.045755553067505624</v>
      </c>
      <c r="AB148" s="577"/>
      <c r="AC148" s="577">
        <f>SUM(AC149:AC151)</f>
        <v>0.0386487137974743</v>
      </c>
      <c r="AD148" s="700"/>
      <c r="AF148" s="520"/>
      <c r="AG148" s="520"/>
      <c r="AH148" s="512">
        <v>11035</v>
      </c>
      <c r="AJ148" s="513">
        <v>106.23302983559877</v>
      </c>
      <c r="AK148" s="514">
        <v>105.1948604625895</v>
      </c>
      <c r="AL148" s="513">
        <v>104.86113485125321</v>
      </c>
      <c r="AM148" s="512">
        <v>12</v>
      </c>
      <c r="AN148" s="512">
        <v>1000000</v>
      </c>
      <c r="AO148" s="512">
        <v>0.12</v>
      </c>
      <c r="AP148" s="523">
        <f t="shared" si="49"/>
        <v>0</v>
      </c>
      <c r="AQ148" s="523">
        <f t="shared" si="45"/>
        <v>0</v>
      </c>
      <c r="AR148" s="523">
        <f t="shared" si="46"/>
        <v>0</v>
      </c>
      <c r="AS148" s="512">
        <v>0.18</v>
      </c>
      <c r="AT148" s="523">
        <f t="shared" si="44"/>
        <v>0.018295199999999998</v>
      </c>
      <c r="AU148" s="526"/>
      <c r="AV148" s="526"/>
      <c r="AX148" s="527"/>
      <c r="AY148" s="527"/>
      <c r="AZ148" s="528"/>
    </row>
    <row r="149" spans="1:52" ht="32.25" customHeight="1">
      <c r="A149" s="744"/>
      <c r="B149" s="747"/>
      <c r="C149" s="747"/>
      <c r="D149" s="568">
        <v>2013</v>
      </c>
      <c r="E149" s="578">
        <f>G149+I149+K149+M149+O149+Q149</f>
        <v>0.1694</v>
      </c>
      <c r="F149" s="578">
        <v>0.169</v>
      </c>
      <c r="G149" s="575">
        <v>0</v>
      </c>
      <c r="H149" s="586"/>
      <c r="I149" s="578">
        <v>0.1694</v>
      </c>
      <c r="J149" s="578">
        <v>0.169</v>
      </c>
      <c r="K149" s="569">
        <v>0</v>
      </c>
      <c r="L149" s="586"/>
      <c r="M149" s="569">
        <v>0</v>
      </c>
      <c r="N149" s="586"/>
      <c r="O149" s="569">
        <v>0</v>
      </c>
      <c r="P149" s="569"/>
      <c r="Q149" s="569">
        <v>0</v>
      </c>
      <c r="R149" s="582"/>
      <c r="S149" s="744"/>
      <c r="T149" s="769"/>
      <c r="U149" s="493">
        <f>AE149</f>
        <v>5</v>
      </c>
      <c r="V149" s="493"/>
      <c r="W149" s="577">
        <f>SUM(Y149:AC149)</f>
        <v>0.10269946686497994</v>
      </c>
      <c r="X149" s="577"/>
      <c r="Y149" s="577">
        <f>AT149</f>
        <v>0.018295199999999998</v>
      </c>
      <c r="Z149" s="577"/>
      <c r="AA149" s="577">
        <f>AR149</f>
        <v>0.045755553067505624</v>
      </c>
      <c r="AB149" s="577"/>
      <c r="AC149" s="577">
        <f>AQ149</f>
        <v>0.0386487137974743</v>
      </c>
      <c r="AD149" s="700"/>
      <c r="AE149" s="512">
        <f t="shared" si="76"/>
        <v>5</v>
      </c>
      <c r="AF149" s="542">
        <v>0</v>
      </c>
      <c r="AG149" s="511">
        <v>5</v>
      </c>
      <c r="AH149" s="512">
        <v>11035</v>
      </c>
      <c r="AJ149" s="513">
        <v>106.23302983559877</v>
      </c>
      <c r="AK149" s="514">
        <v>105.1948604625895</v>
      </c>
      <c r="AL149" s="513">
        <v>104.86113485125321</v>
      </c>
      <c r="AM149" s="512">
        <v>12</v>
      </c>
      <c r="AN149" s="512">
        <v>1000000</v>
      </c>
      <c r="AO149" s="512">
        <v>0.12</v>
      </c>
      <c r="AP149" s="523">
        <f t="shared" si="49"/>
        <v>0.08440426686497993</v>
      </c>
      <c r="AQ149" s="523">
        <f t="shared" si="45"/>
        <v>0.0386487137974743</v>
      </c>
      <c r="AR149" s="523">
        <f t="shared" si="46"/>
        <v>0.045755553067505624</v>
      </c>
      <c r="AS149" s="512">
        <v>0.18</v>
      </c>
      <c r="AT149" s="523">
        <f t="shared" si="44"/>
        <v>0.018295199999999998</v>
      </c>
      <c r="AU149" s="526"/>
      <c r="AV149" s="526"/>
      <c r="AX149" s="527"/>
      <c r="AY149" s="527"/>
      <c r="AZ149" s="528"/>
    </row>
    <row r="150" spans="1:52" ht="32.25" customHeight="1">
      <c r="A150" s="744"/>
      <c r="B150" s="747"/>
      <c r="C150" s="747"/>
      <c r="D150" s="568">
        <v>2014</v>
      </c>
      <c r="E150" s="578">
        <v>0</v>
      </c>
      <c r="F150" s="578"/>
      <c r="G150" s="569">
        <v>0</v>
      </c>
      <c r="H150" s="586"/>
      <c r="I150" s="578">
        <v>0</v>
      </c>
      <c r="J150" s="578"/>
      <c r="K150" s="569">
        <v>0</v>
      </c>
      <c r="L150" s="586"/>
      <c r="M150" s="569">
        <v>0</v>
      </c>
      <c r="N150" s="586"/>
      <c r="O150" s="569">
        <v>0</v>
      </c>
      <c r="P150" s="569"/>
      <c r="Q150" s="569">
        <v>0</v>
      </c>
      <c r="R150" s="582"/>
      <c r="S150" s="744"/>
      <c r="T150" s="769"/>
      <c r="U150" s="493">
        <f>AE150</f>
        <v>0</v>
      </c>
      <c r="V150" s="493"/>
      <c r="W150" s="577">
        <f>SUM(Y150:AC150)</f>
        <v>0</v>
      </c>
      <c r="X150" s="577"/>
      <c r="Y150" s="577">
        <f>AT150</f>
        <v>0</v>
      </c>
      <c r="Z150" s="577"/>
      <c r="AA150" s="577">
        <f>AR150</f>
        <v>0</v>
      </c>
      <c r="AB150" s="577"/>
      <c r="AC150" s="577">
        <f>AQ150</f>
        <v>0</v>
      </c>
      <c r="AD150" s="700"/>
      <c r="AE150" s="512">
        <f t="shared" si="76"/>
        <v>0</v>
      </c>
      <c r="AF150" s="542">
        <v>0</v>
      </c>
      <c r="AH150" s="512">
        <v>11035</v>
      </c>
      <c r="AJ150" s="513">
        <v>106.23302983559877</v>
      </c>
      <c r="AK150" s="514">
        <v>105.1948604625895</v>
      </c>
      <c r="AL150" s="513">
        <v>104.86113485125321</v>
      </c>
      <c r="AM150" s="512">
        <v>12</v>
      </c>
      <c r="AN150" s="512">
        <v>1000000</v>
      </c>
      <c r="AO150" s="512">
        <v>0.12</v>
      </c>
      <c r="AP150" s="523">
        <f t="shared" si="49"/>
        <v>0</v>
      </c>
      <c r="AQ150" s="523">
        <f t="shared" si="45"/>
        <v>0</v>
      </c>
      <c r="AR150" s="523">
        <f t="shared" si="46"/>
        <v>0</v>
      </c>
      <c r="AS150" s="512">
        <v>0.18</v>
      </c>
      <c r="AT150" s="523">
        <f aca="true" t="shared" si="79" ref="AT150:AT213">E150*0.6*AS150</f>
        <v>0</v>
      </c>
      <c r="AU150" s="526"/>
      <c r="AV150" s="526"/>
      <c r="AX150" s="527"/>
      <c r="AY150" s="527"/>
      <c r="AZ150" s="528"/>
    </row>
    <row r="151" spans="1:52" s="644" customFormat="1" ht="32.25" customHeight="1">
      <c r="A151" s="745"/>
      <c r="B151" s="748"/>
      <c r="C151" s="748"/>
      <c r="D151" s="647">
        <v>2015</v>
      </c>
      <c r="E151" s="650">
        <v>0</v>
      </c>
      <c r="F151" s="650"/>
      <c r="G151" s="634">
        <v>0</v>
      </c>
      <c r="H151" s="667"/>
      <c r="I151" s="650">
        <v>0</v>
      </c>
      <c r="J151" s="650"/>
      <c r="K151" s="634">
        <v>0</v>
      </c>
      <c r="L151" s="667"/>
      <c r="M151" s="634">
        <v>0</v>
      </c>
      <c r="N151" s="667"/>
      <c r="O151" s="634">
        <v>0</v>
      </c>
      <c r="P151" s="634"/>
      <c r="Q151" s="634">
        <v>0</v>
      </c>
      <c r="R151" s="662"/>
      <c r="S151" s="745"/>
      <c r="T151" s="770"/>
      <c r="U151" s="637">
        <f>AE151</f>
        <v>0</v>
      </c>
      <c r="V151" s="637"/>
      <c r="W151" s="646">
        <f>SUM(Y151:AC151)</f>
        <v>0</v>
      </c>
      <c r="X151" s="646"/>
      <c r="Y151" s="646">
        <f>AT151</f>
        <v>0</v>
      </c>
      <c r="Z151" s="646"/>
      <c r="AA151" s="646">
        <f>AR151</f>
        <v>0</v>
      </c>
      <c r="AB151" s="646"/>
      <c r="AC151" s="646">
        <f>AQ151</f>
        <v>0</v>
      </c>
      <c r="AD151" s="701"/>
      <c r="AE151" s="638">
        <f t="shared" si="76"/>
        <v>0</v>
      </c>
      <c r="AF151" s="663">
        <v>0</v>
      </c>
      <c r="AG151" s="638"/>
      <c r="AH151" s="638">
        <v>11035</v>
      </c>
      <c r="AI151" s="638"/>
      <c r="AJ151" s="641">
        <v>106.23302983559877</v>
      </c>
      <c r="AK151" s="642">
        <v>105.1948604625895</v>
      </c>
      <c r="AL151" s="641">
        <v>104.86113485125321</v>
      </c>
      <c r="AM151" s="638">
        <v>12</v>
      </c>
      <c r="AN151" s="638">
        <v>1000000</v>
      </c>
      <c r="AO151" s="638">
        <v>0.12</v>
      </c>
      <c r="AP151" s="643">
        <f t="shared" si="49"/>
        <v>0</v>
      </c>
      <c r="AQ151" s="643">
        <f aca="true" t="shared" si="80" ref="AQ151:AQ214">AP151*0.4579</f>
        <v>0</v>
      </c>
      <c r="AR151" s="643">
        <f aca="true" t="shared" si="81" ref="AR151:AR214">AP151-AQ151</f>
        <v>0</v>
      </c>
      <c r="AS151" s="638">
        <v>0.18</v>
      </c>
      <c r="AT151" s="643">
        <f t="shared" si="79"/>
        <v>0</v>
      </c>
      <c r="AU151" s="664"/>
      <c r="AV151" s="664"/>
      <c r="AX151" s="665"/>
      <c r="AY151" s="665"/>
      <c r="AZ151" s="666"/>
    </row>
    <row r="152" spans="1:52" ht="90" customHeight="1">
      <c r="A152" s="743">
        <v>4</v>
      </c>
      <c r="B152" s="746" t="s">
        <v>512</v>
      </c>
      <c r="C152" s="746" t="s">
        <v>513</v>
      </c>
      <c r="D152" s="568" t="s">
        <v>273</v>
      </c>
      <c r="E152" s="578">
        <f aca="true" t="shared" si="82" ref="E152:E182">SUM(G152:Q152)</f>
        <v>43.44469999999999</v>
      </c>
      <c r="F152" s="578"/>
      <c r="G152" s="575">
        <f aca="true" t="shared" si="83" ref="G152:Q152">SUM(G153:G155)</f>
        <v>24.199999999999996</v>
      </c>
      <c r="H152" s="586"/>
      <c r="I152" s="578">
        <f t="shared" si="83"/>
        <v>7.353499999999999</v>
      </c>
      <c r="J152" s="578"/>
      <c r="K152" s="575">
        <f t="shared" si="83"/>
        <v>1.8912000000000002</v>
      </c>
      <c r="L152" s="586"/>
      <c r="M152" s="575">
        <f t="shared" si="83"/>
        <v>10</v>
      </c>
      <c r="N152" s="586"/>
      <c r="O152" s="569">
        <f t="shared" si="83"/>
        <v>0</v>
      </c>
      <c r="P152" s="569"/>
      <c r="Q152" s="569">
        <f t="shared" si="83"/>
        <v>0</v>
      </c>
      <c r="R152" s="581"/>
      <c r="S152" s="768" t="s">
        <v>151</v>
      </c>
      <c r="T152" s="768" t="s">
        <v>293</v>
      </c>
      <c r="U152" s="493">
        <f>SUM(U153:U155)</f>
        <v>100</v>
      </c>
      <c r="V152" s="493"/>
      <c r="W152" s="577">
        <f>SUM(W153:W155)</f>
        <v>6.620112937299598</v>
      </c>
      <c r="X152" s="577"/>
      <c r="Y152" s="577">
        <f>SUM(Y153:Y155)</f>
        <v>4.6920275999999985</v>
      </c>
      <c r="Z152" s="577"/>
      <c r="AA152" s="577">
        <f>SUM(AA153:AA155)</f>
        <v>0.9151110613501126</v>
      </c>
      <c r="AB152" s="577"/>
      <c r="AC152" s="577">
        <f>SUM(AC153:AC155)</f>
        <v>0.7729742759494862</v>
      </c>
      <c r="AD152" s="700"/>
      <c r="AF152" s="520"/>
      <c r="AH152" s="512">
        <v>11035</v>
      </c>
      <c r="AJ152" s="513">
        <v>106.23302983559877</v>
      </c>
      <c r="AK152" s="514">
        <v>105.1948604625895</v>
      </c>
      <c r="AL152" s="513">
        <v>104.86113485125321</v>
      </c>
      <c r="AM152" s="512">
        <v>12</v>
      </c>
      <c r="AN152" s="512">
        <v>1000000</v>
      </c>
      <c r="AO152" s="512">
        <v>0.12</v>
      </c>
      <c r="AP152" s="523">
        <f aca="true" t="shared" si="84" ref="AP152:AP214">AE152*AH152*AJ152%*AM152/AN152*AO152</f>
        <v>0</v>
      </c>
      <c r="AQ152" s="523">
        <f t="shared" si="80"/>
        <v>0</v>
      </c>
      <c r="AR152" s="523">
        <f t="shared" si="81"/>
        <v>0</v>
      </c>
      <c r="AS152" s="512">
        <v>0.18</v>
      </c>
      <c r="AT152" s="523">
        <f t="shared" si="79"/>
        <v>4.6920275999999985</v>
      </c>
      <c r="AU152" s="526"/>
      <c r="AV152" s="526"/>
      <c r="AX152" s="527"/>
      <c r="AY152" s="527"/>
      <c r="AZ152" s="528"/>
    </row>
    <row r="153" spans="1:52" ht="90" customHeight="1">
      <c r="A153" s="744"/>
      <c r="B153" s="837"/>
      <c r="C153" s="747"/>
      <c r="D153" s="568">
        <v>2013</v>
      </c>
      <c r="E153" s="578">
        <f>G153+I153+K153+M153+O153+Q153</f>
        <v>42.8131</v>
      </c>
      <c r="F153" s="578">
        <f>(442.21+7042.8+180.089+44.536+500+18187.8+1848.5+2476.4)/1000</f>
        <v>30.722334999999998</v>
      </c>
      <c r="G153" s="489">
        <f>0.72+19.865+3.135</f>
        <v>23.72</v>
      </c>
      <c r="H153" s="622">
        <f>(380+13600+1404.8+1882.1)/1000</f>
        <v>17.266899999999996</v>
      </c>
      <c r="I153" s="577">
        <f>0.18+6.719+0.1975+0.137</f>
        <v>7.233499999999999</v>
      </c>
      <c r="J153" s="577">
        <f>(420.1+6707.4+171.5+95+3678.4+351.2+470.5)/1000</f>
        <v>11.8941</v>
      </c>
      <c r="K153" s="489">
        <f>0.0474+1.701+0.0525+0.002+0.0567</f>
        <v>1.8596000000000001</v>
      </c>
      <c r="L153" s="622">
        <f>(22.11+335.37+8.6+44.5+25+909.4+92.4+123.8)/1000</f>
        <v>1.56118</v>
      </c>
      <c r="M153" s="569">
        <v>10</v>
      </c>
      <c r="N153" s="586"/>
      <c r="O153" s="569">
        <v>0</v>
      </c>
      <c r="P153" s="569"/>
      <c r="Q153" s="569">
        <v>0</v>
      </c>
      <c r="R153" s="582"/>
      <c r="S153" s="744"/>
      <c r="T153" s="769"/>
      <c r="U153" s="493">
        <f>AE153</f>
        <v>100</v>
      </c>
      <c r="V153" s="493">
        <v>41</v>
      </c>
      <c r="W153" s="577">
        <f>SUM(Y153:AC153)</f>
        <v>6.311900137299598</v>
      </c>
      <c r="X153" s="577"/>
      <c r="Y153" s="577">
        <f>AT153</f>
        <v>4.623814799999999</v>
      </c>
      <c r="Z153" s="577"/>
      <c r="AA153" s="577">
        <f>AR153</f>
        <v>0.9151110613501126</v>
      </c>
      <c r="AB153" s="577"/>
      <c r="AC153" s="577">
        <f>AQ153</f>
        <v>0.7729742759494862</v>
      </c>
      <c r="AD153" s="700"/>
      <c r="AE153" s="512">
        <f t="shared" si="76"/>
        <v>100</v>
      </c>
      <c r="AF153" s="542">
        <v>100</v>
      </c>
      <c r="AH153" s="512">
        <v>11035</v>
      </c>
      <c r="AJ153" s="513">
        <v>106.23302983559877</v>
      </c>
      <c r="AK153" s="514">
        <v>105.1948604625895</v>
      </c>
      <c r="AL153" s="513">
        <v>104.86113485125321</v>
      </c>
      <c r="AM153" s="512">
        <v>12</v>
      </c>
      <c r="AN153" s="512">
        <v>1000000</v>
      </c>
      <c r="AO153" s="512">
        <v>0.12</v>
      </c>
      <c r="AP153" s="523">
        <f t="shared" si="84"/>
        <v>1.6880853372995988</v>
      </c>
      <c r="AQ153" s="523">
        <f t="shared" si="80"/>
        <v>0.7729742759494862</v>
      </c>
      <c r="AR153" s="523">
        <f t="shared" si="81"/>
        <v>0.9151110613501126</v>
      </c>
      <c r="AS153" s="512">
        <v>0.18</v>
      </c>
      <c r="AT153" s="523">
        <f t="shared" si="79"/>
        <v>4.623814799999999</v>
      </c>
      <c r="AU153" s="526"/>
      <c r="AV153" s="526"/>
      <c r="AX153" s="527"/>
      <c r="AY153" s="527"/>
      <c r="AZ153" s="528"/>
    </row>
    <row r="154" spans="1:52" ht="90" customHeight="1">
      <c r="A154" s="744"/>
      <c r="B154" s="837"/>
      <c r="C154" s="747"/>
      <c r="D154" s="568" t="s">
        <v>601</v>
      </c>
      <c r="E154" s="578">
        <v>0.3158</v>
      </c>
      <c r="F154" s="578">
        <v>0.63</v>
      </c>
      <c r="G154" s="489">
        <v>0.24</v>
      </c>
      <c r="H154" s="622">
        <v>0.46</v>
      </c>
      <c r="I154" s="577">
        <v>0.06</v>
      </c>
      <c r="J154" s="577">
        <v>0.13</v>
      </c>
      <c r="K154" s="489">
        <v>0.0158</v>
      </c>
      <c r="L154" s="622">
        <v>0.03</v>
      </c>
      <c r="M154" s="569">
        <v>0</v>
      </c>
      <c r="N154" s="586"/>
      <c r="O154" s="569">
        <v>0</v>
      </c>
      <c r="P154" s="569"/>
      <c r="Q154" s="569">
        <v>0</v>
      </c>
      <c r="R154" s="582"/>
      <c r="S154" s="744"/>
      <c r="T154" s="769"/>
      <c r="U154" s="493">
        <f>AE154</f>
        <v>0</v>
      </c>
      <c r="V154" s="493"/>
      <c r="W154" s="577">
        <f>SUM(Y154:AC154)</f>
        <v>0.2741064</v>
      </c>
      <c r="X154" s="577">
        <v>0.279</v>
      </c>
      <c r="Y154" s="577">
        <f>AT154</f>
        <v>0.0341064</v>
      </c>
      <c r="Z154" s="577"/>
      <c r="AA154" s="577">
        <f>AR154</f>
        <v>0</v>
      </c>
      <c r="AB154" s="577">
        <v>0.24</v>
      </c>
      <c r="AC154" s="577">
        <f>AQ154</f>
        <v>0</v>
      </c>
      <c r="AD154" s="700">
        <v>0.03</v>
      </c>
      <c r="AE154" s="512">
        <f t="shared" si="76"/>
        <v>0</v>
      </c>
      <c r="AF154" s="542">
        <v>0</v>
      </c>
      <c r="AH154" s="512">
        <v>11035</v>
      </c>
      <c r="AJ154" s="513">
        <v>106.23302983559877</v>
      </c>
      <c r="AK154" s="514">
        <v>105.1948604625895</v>
      </c>
      <c r="AL154" s="513">
        <v>104.86113485125321</v>
      </c>
      <c r="AM154" s="512">
        <v>12</v>
      </c>
      <c r="AN154" s="512">
        <v>1000000</v>
      </c>
      <c r="AO154" s="512">
        <v>0.12</v>
      </c>
      <c r="AP154" s="523">
        <f t="shared" si="84"/>
        <v>0</v>
      </c>
      <c r="AQ154" s="523">
        <f t="shared" si="80"/>
        <v>0</v>
      </c>
      <c r="AR154" s="523">
        <f t="shared" si="81"/>
        <v>0</v>
      </c>
      <c r="AS154" s="512">
        <v>0.18</v>
      </c>
      <c r="AT154" s="523">
        <f t="shared" si="79"/>
        <v>0.0341064</v>
      </c>
      <c r="AU154" s="526"/>
      <c r="AV154" s="526"/>
      <c r="AX154" s="527"/>
      <c r="AY154" s="527"/>
      <c r="AZ154" s="528"/>
    </row>
    <row r="155" spans="1:52" s="644" customFormat="1" ht="90" customHeight="1">
      <c r="A155" s="745"/>
      <c r="B155" s="838"/>
      <c r="C155" s="748"/>
      <c r="D155" s="647" t="s">
        <v>602</v>
      </c>
      <c r="E155" s="650">
        <v>0.3158</v>
      </c>
      <c r="F155" s="650">
        <v>0.732</v>
      </c>
      <c r="G155" s="633">
        <v>0.24</v>
      </c>
      <c r="H155" s="661">
        <v>0.57</v>
      </c>
      <c r="I155" s="646">
        <v>0.06</v>
      </c>
      <c r="J155" s="646">
        <v>0.128</v>
      </c>
      <c r="K155" s="633">
        <v>0.0158</v>
      </c>
      <c r="L155" s="661">
        <v>0.034</v>
      </c>
      <c r="M155" s="634">
        <v>0</v>
      </c>
      <c r="N155" s="667"/>
      <c r="O155" s="634">
        <v>0</v>
      </c>
      <c r="P155" s="634"/>
      <c r="Q155" s="634">
        <v>0</v>
      </c>
      <c r="R155" s="662"/>
      <c r="S155" s="745"/>
      <c r="T155" s="770"/>
      <c r="U155" s="637">
        <f>AE155</f>
        <v>0</v>
      </c>
      <c r="V155" s="637">
        <v>6</v>
      </c>
      <c r="W155" s="646">
        <f>SUM(Y155+AA155+AC155)</f>
        <v>0.0341064</v>
      </c>
      <c r="X155" s="646">
        <v>0.05</v>
      </c>
      <c r="Y155" s="646">
        <f>AT155</f>
        <v>0.0341064</v>
      </c>
      <c r="Z155" s="646"/>
      <c r="AA155" s="646">
        <f>AR155</f>
        <v>0</v>
      </c>
      <c r="AB155" s="646">
        <v>0.034</v>
      </c>
      <c r="AC155" s="646">
        <f>AQ155</f>
        <v>0</v>
      </c>
      <c r="AD155" s="701">
        <v>0.0159</v>
      </c>
      <c r="AE155" s="638">
        <f t="shared" si="76"/>
        <v>0</v>
      </c>
      <c r="AF155" s="663">
        <v>0</v>
      </c>
      <c r="AG155" s="638"/>
      <c r="AH155" s="638">
        <v>11035</v>
      </c>
      <c r="AI155" s="638"/>
      <c r="AJ155" s="641">
        <v>106.23302983559877</v>
      </c>
      <c r="AK155" s="642">
        <v>105.1948604625895</v>
      </c>
      <c r="AL155" s="641">
        <v>104.86113485125321</v>
      </c>
      <c r="AM155" s="638">
        <v>12</v>
      </c>
      <c r="AN155" s="638">
        <v>1000000</v>
      </c>
      <c r="AO155" s="638">
        <v>0.12</v>
      </c>
      <c r="AP155" s="643">
        <f t="shared" si="84"/>
        <v>0</v>
      </c>
      <c r="AQ155" s="643">
        <f t="shared" si="80"/>
        <v>0</v>
      </c>
      <c r="AR155" s="643">
        <f t="shared" si="81"/>
        <v>0</v>
      </c>
      <c r="AS155" s="638">
        <v>0.18</v>
      </c>
      <c r="AT155" s="643">
        <f t="shared" si="79"/>
        <v>0.0341064</v>
      </c>
      <c r="AU155" s="664"/>
      <c r="AV155" s="664"/>
      <c r="AX155" s="665"/>
      <c r="AY155" s="665"/>
      <c r="AZ155" s="666"/>
    </row>
    <row r="156" spans="1:52" ht="34.5" customHeight="1">
      <c r="A156" s="743">
        <v>5</v>
      </c>
      <c r="B156" s="746" t="s">
        <v>620</v>
      </c>
      <c r="C156" s="746" t="s">
        <v>263</v>
      </c>
      <c r="D156" s="568" t="s">
        <v>273</v>
      </c>
      <c r="E156" s="578">
        <f t="shared" si="82"/>
        <v>0.195</v>
      </c>
      <c r="F156" s="578"/>
      <c r="G156" s="569">
        <f aca="true" t="shared" si="85" ref="G156:Q156">SUM(G157:G159)</f>
        <v>0</v>
      </c>
      <c r="H156" s="586"/>
      <c r="I156" s="578">
        <f t="shared" si="85"/>
        <v>0</v>
      </c>
      <c r="J156" s="578"/>
      <c r="K156" s="569">
        <f t="shared" si="85"/>
        <v>0</v>
      </c>
      <c r="L156" s="586"/>
      <c r="M156" s="575">
        <f t="shared" si="85"/>
        <v>0.195</v>
      </c>
      <c r="N156" s="586"/>
      <c r="O156" s="569">
        <f t="shared" si="85"/>
        <v>0</v>
      </c>
      <c r="P156" s="569"/>
      <c r="Q156" s="569">
        <f t="shared" si="85"/>
        <v>0</v>
      </c>
      <c r="R156" s="581"/>
      <c r="S156" s="743"/>
      <c r="T156" s="768" t="s">
        <v>294</v>
      </c>
      <c r="U156" s="493">
        <f>SUM(U157:U159)</f>
        <v>0</v>
      </c>
      <c r="V156" s="493"/>
      <c r="W156" s="577">
        <f>SUM(W157:W159)</f>
        <v>0.020628</v>
      </c>
      <c r="X156" s="577"/>
      <c r="Y156" s="577">
        <f>SUM(Y157:Y159)</f>
        <v>0.020628</v>
      </c>
      <c r="Z156" s="577"/>
      <c r="AA156" s="577">
        <f>SUM(AA157:AA159)</f>
        <v>0</v>
      </c>
      <c r="AB156" s="577"/>
      <c r="AC156" s="577">
        <f>SUM(AC157:AC159)</f>
        <v>0</v>
      </c>
      <c r="AD156" s="700"/>
      <c r="AF156" s="520"/>
      <c r="AH156" s="512">
        <v>11035</v>
      </c>
      <c r="AJ156" s="513">
        <v>106.23302983559877</v>
      </c>
      <c r="AK156" s="514">
        <v>105.1948604625895</v>
      </c>
      <c r="AL156" s="513">
        <v>104.86113485125321</v>
      </c>
      <c r="AM156" s="512">
        <v>12</v>
      </c>
      <c r="AN156" s="512">
        <v>1000000</v>
      </c>
      <c r="AO156" s="512">
        <v>0.12</v>
      </c>
      <c r="AP156" s="523">
        <f t="shared" si="84"/>
        <v>0</v>
      </c>
      <c r="AQ156" s="523">
        <f t="shared" si="80"/>
        <v>0</v>
      </c>
      <c r="AR156" s="523">
        <f t="shared" si="81"/>
        <v>0</v>
      </c>
      <c r="AS156" s="512">
        <v>0.18</v>
      </c>
      <c r="AT156" s="523">
        <f t="shared" si="79"/>
        <v>0.02106</v>
      </c>
      <c r="AU156" s="526"/>
      <c r="AV156" s="526"/>
      <c r="AX156" s="527"/>
      <c r="AY156" s="527"/>
      <c r="AZ156" s="528"/>
    </row>
    <row r="157" spans="1:52" ht="34.5" customHeight="1">
      <c r="A157" s="744"/>
      <c r="B157" s="747"/>
      <c r="C157" s="747"/>
      <c r="D157" s="568">
        <v>2013</v>
      </c>
      <c r="E157" s="578">
        <f t="shared" si="82"/>
        <v>0.056</v>
      </c>
      <c r="F157" s="578"/>
      <c r="G157" s="569">
        <v>0</v>
      </c>
      <c r="H157" s="586"/>
      <c r="I157" s="578">
        <v>0</v>
      </c>
      <c r="J157" s="578"/>
      <c r="K157" s="569">
        <v>0</v>
      </c>
      <c r="L157" s="586"/>
      <c r="M157" s="575">
        <v>0.056</v>
      </c>
      <c r="N157" s="586"/>
      <c r="O157" s="569">
        <v>0</v>
      </c>
      <c r="P157" s="569"/>
      <c r="Q157" s="569">
        <v>0</v>
      </c>
      <c r="R157" s="582"/>
      <c r="S157" s="744"/>
      <c r="T157" s="769"/>
      <c r="U157" s="493">
        <f>AE157</f>
        <v>0</v>
      </c>
      <c r="V157" s="493"/>
      <c r="W157" s="577">
        <f>SUM(Y157:AC157)</f>
        <v>0.0060479999999999996</v>
      </c>
      <c r="X157" s="577"/>
      <c r="Y157" s="577">
        <f>AT157</f>
        <v>0.0060479999999999996</v>
      </c>
      <c r="Z157" s="577"/>
      <c r="AA157" s="577">
        <f>AR157</f>
        <v>0</v>
      </c>
      <c r="AB157" s="577"/>
      <c r="AC157" s="577">
        <f>AQ157</f>
        <v>0</v>
      </c>
      <c r="AD157" s="700"/>
      <c r="AE157" s="512">
        <f t="shared" si="76"/>
        <v>0</v>
      </c>
      <c r="AF157" s="542">
        <v>0</v>
      </c>
      <c r="AH157" s="512">
        <v>11035</v>
      </c>
      <c r="AJ157" s="513">
        <v>106.23302983559877</v>
      </c>
      <c r="AK157" s="514">
        <v>105.1948604625895</v>
      </c>
      <c r="AL157" s="513">
        <v>104.86113485125321</v>
      </c>
      <c r="AM157" s="512">
        <v>12</v>
      </c>
      <c r="AN157" s="512">
        <v>1000000</v>
      </c>
      <c r="AO157" s="512">
        <v>0.12</v>
      </c>
      <c r="AP157" s="523">
        <f t="shared" si="84"/>
        <v>0</v>
      </c>
      <c r="AQ157" s="523">
        <f t="shared" si="80"/>
        <v>0</v>
      </c>
      <c r="AR157" s="523">
        <f t="shared" si="81"/>
        <v>0</v>
      </c>
      <c r="AS157" s="512">
        <v>0.18</v>
      </c>
      <c r="AT157" s="523">
        <f t="shared" si="79"/>
        <v>0.0060479999999999996</v>
      </c>
      <c r="AU157" s="526"/>
      <c r="AV157" s="526"/>
      <c r="AX157" s="527"/>
      <c r="AY157" s="527"/>
      <c r="AZ157" s="528"/>
    </row>
    <row r="158" spans="1:52" ht="34.5" customHeight="1">
      <c r="A158" s="744"/>
      <c r="B158" s="747"/>
      <c r="C158" s="747"/>
      <c r="D158" s="568">
        <v>2014</v>
      </c>
      <c r="E158" s="578">
        <v>0.065</v>
      </c>
      <c r="F158" s="578">
        <v>0.12</v>
      </c>
      <c r="G158" s="569">
        <v>0</v>
      </c>
      <c r="H158" s="586"/>
      <c r="I158" s="578">
        <v>0</v>
      </c>
      <c r="J158" s="578"/>
      <c r="K158" s="569">
        <v>0</v>
      </c>
      <c r="L158" s="586">
        <v>0.05</v>
      </c>
      <c r="M158" s="575">
        <v>0.065</v>
      </c>
      <c r="N158" s="586">
        <v>0.07</v>
      </c>
      <c r="O158" s="569">
        <v>0</v>
      </c>
      <c r="P158" s="569"/>
      <c r="Q158" s="569">
        <v>0</v>
      </c>
      <c r="R158" s="582"/>
      <c r="S158" s="744"/>
      <c r="T158" s="769"/>
      <c r="U158" s="493">
        <f>AE158</f>
        <v>0</v>
      </c>
      <c r="V158" s="493"/>
      <c r="W158" s="577">
        <f>SUM(Y158:AC158)</f>
        <v>0.007019999999999999</v>
      </c>
      <c r="X158" s="577"/>
      <c r="Y158" s="577">
        <f>AT158</f>
        <v>0.007019999999999999</v>
      </c>
      <c r="Z158" s="577"/>
      <c r="AA158" s="577">
        <f>AR158</f>
        <v>0</v>
      </c>
      <c r="AB158" s="577"/>
      <c r="AC158" s="577">
        <f>AQ158</f>
        <v>0</v>
      </c>
      <c r="AD158" s="700"/>
      <c r="AE158" s="512">
        <f t="shared" si="76"/>
        <v>0</v>
      </c>
      <c r="AF158" s="542">
        <v>0</v>
      </c>
      <c r="AH158" s="512">
        <v>11035</v>
      </c>
      <c r="AJ158" s="513">
        <v>106.23302983559877</v>
      </c>
      <c r="AK158" s="514">
        <v>105.1948604625895</v>
      </c>
      <c r="AL158" s="513">
        <v>104.86113485125321</v>
      </c>
      <c r="AM158" s="512">
        <v>12</v>
      </c>
      <c r="AN158" s="512">
        <v>1000000</v>
      </c>
      <c r="AO158" s="512">
        <v>0.12</v>
      </c>
      <c r="AP158" s="523">
        <f t="shared" si="84"/>
        <v>0</v>
      </c>
      <c r="AQ158" s="523">
        <f t="shared" si="80"/>
        <v>0</v>
      </c>
      <c r="AR158" s="523">
        <f t="shared" si="81"/>
        <v>0</v>
      </c>
      <c r="AS158" s="512">
        <v>0.18</v>
      </c>
      <c r="AT158" s="523">
        <f t="shared" si="79"/>
        <v>0.007019999999999999</v>
      </c>
      <c r="AU158" s="526"/>
      <c r="AV158" s="526"/>
      <c r="AX158" s="527"/>
      <c r="AY158" s="527"/>
      <c r="AZ158" s="528"/>
    </row>
    <row r="159" spans="1:52" s="644" customFormat="1" ht="34.5" customHeight="1">
      <c r="A159" s="745"/>
      <c r="B159" s="748"/>
      <c r="C159" s="748"/>
      <c r="D159" s="647">
        <v>2015</v>
      </c>
      <c r="E159" s="650">
        <v>0.07</v>
      </c>
      <c r="F159" s="650">
        <v>0.12</v>
      </c>
      <c r="G159" s="634">
        <v>0</v>
      </c>
      <c r="H159" s="667"/>
      <c r="I159" s="650">
        <v>0</v>
      </c>
      <c r="J159" s="650"/>
      <c r="K159" s="634">
        <v>0</v>
      </c>
      <c r="L159" s="667">
        <v>0.03</v>
      </c>
      <c r="M159" s="660">
        <v>0.074</v>
      </c>
      <c r="N159" s="667">
        <v>0.09</v>
      </c>
      <c r="O159" s="634">
        <v>0</v>
      </c>
      <c r="P159" s="634"/>
      <c r="Q159" s="634">
        <v>0</v>
      </c>
      <c r="R159" s="662"/>
      <c r="S159" s="745"/>
      <c r="T159" s="770"/>
      <c r="U159" s="637">
        <f>AE159</f>
        <v>0</v>
      </c>
      <c r="V159" s="637"/>
      <c r="W159" s="646">
        <f>SUM(Y159:AC159)</f>
        <v>0.00756</v>
      </c>
      <c r="X159" s="646"/>
      <c r="Y159" s="646">
        <f>AT159</f>
        <v>0.00756</v>
      </c>
      <c r="Z159" s="646"/>
      <c r="AA159" s="646">
        <f>AR159</f>
        <v>0</v>
      </c>
      <c r="AB159" s="646"/>
      <c r="AC159" s="646">
        <f>AQ159</f>
        <v>0</v>
      </c>
      <c r="AD159" s="701"/>
      <c r="AE159" s="638">
        <f t="shared" si="76"/>
        <v>0</v>
      </c>
      <c r="AF159" s="663">
        <v>0</v>
      </c>
      <c r="AG159" s="638"/>
      <c r="AH159" s="638">
        <v>11035</v>
      </c>
      <c r="AI159" s="638"/>
      <c r="AJ159" s="641">
        <v>106.23302983559877</v>
      </c>
      <c r="AK159" s="642">
        <v>105.1948604625895</v>
      </c>
      <c r="AL159" s="641">
        <v>104.86113485125321</v>
      </c>
      <c r="AM159" s="638">
        <v>12</v>
      </c>
      <c r="AN159" s="638">
        <v>1000000</v>
      </c>
      <c r="AO159" s="638">
        <v>0.12</v>
      </c>
      <c r="AP159" s="643">
        <f t="shared" si="84"/>
        <v>0</v>
      </c>
      <c r="AQ159" s="643">
        <f t="shared" si="80"/>
        <v>0</v>
      </c>
      <c r="AR159" s="643">
        <f t="shared" si="81"/>
        <v>0</v>
      </c>
      <c r="AS159" s="638">
        <v>0.18</v>
      </c>
      <c r="AT159" s="643">
        <f t="shared" si="79"/>
        <v>0.00756</v>
      </c>
      <c r="AU159" s="664"/>
      <c r="AV159" s="664"/>
      <c r="AX159" s="665"/>
      <c r="AY159" s="665"/>
      <c r="AZ159" s="666"/>
    </row>
    <row r="160" spans="1:52" ht="27" customHeight="1">
      <c r="A160" s="743">
        <v>6</v>
      </c>
      <c r="B160" s="746" t="s">
        <v>146</v>
      </c>
      <c r="C160" s="746" t="s">
        <v>1</v>
      </c>
      <c r="D160" s="568" t="s">
        <v>273</v>
      </c>
      <c r="E160" s="578">
        <f t="shared" si="82"/>
        <v>59.260400000000004</v>
      </c>
      <c r="F160" s="578"/>
      <c r="G160" s="569">
        <f aca="true" t="shared" si="86" ref="G160:Q160">SUM(G161:G163)</f>
        <v>59.2</v>
      </c>
      <c r="H160" s="586"/>
      <c r="I160" s="578">
        <f t="shared" si="86"/>
        <v>0.0396</v>
      </c>
      <c r="J160" s="578"/>
      <c r="K160" s="569">
        <f t="shared" si="86"/>
        <v>0.0208</v>
      </c>
      <c r="L160" s="586"/>
      <c r="M160" s="569">
        <f t="shared" si="86"/>
        <v>0</v>
      </c>
      <c r="N160" s="586"/>
      <c r="O160" s="569">
        <f t="shared" si="86"/>
        <v>0</v>
      </c>
      <c r="P160" s="569"/>
      <c r="Q160" s="569">
        <f t="shared" si="86"/>
        <v>0</v>
      </c>
      <c r="R160" s="581"/>
      <c r="S160" s="743"/>
      <c r="T160" s="746" t="s">
        <v>295</v>
      </c>
      <c r="U160" s="493">
        <f>SUM(U161:U163)</f>
        <v>0</v>
      </c>
      <c r="V160" s="493"/>
      <c r="W160" s="577">
        <f>SUM(W161:W163)</f>
        <v>8.929531999999998</v>
      </c>
      <c r="X160" s="577"/>
      <c r="Y160" s="577">
        <f>SUM(Y161:Y163)</f>
        <v>12.969655199999998</v>
      </c>
      <c r="Z160" s="577"/>
      <c r="AA160" s="577">
        <f>SUM(AA161:AA163)</f>
        <v>0</v>
      </c>
      <c r="AB160" s="577"/>
      <c r="AC160" s="577">
        <f>SUM(AC161:AC163)</f>
        <v>0</v>
      </c>
      <c r="AD160" s="700"/>
      <c r="AF160" s="520"/>
      <c r="AH160" s="512">
        <v>11035</v>
      </c>
      <c r="AJ160" s="513">
        <v>106.23302983559877</v>
      </c>
      <c r="AK160" s="514">
        <v>105.1948604625895</v>
      </c>
      <c r="AL160" s="513">
        <v>104.86113485125321</v>
      </c>
      <c r="AM160" s="512">
        <v>12</v>
      </c>
      <c r="AN160" s="512">
        <v>1000000</v>
      </c>
      <c r="AO160" s="512">
        <v>0.12</v>
      </c>
      <c r="AP160" s="523">
        <f t="shared" si="84"/>
        <v>0</v>
      </c>
      <c r="AQ160" s="523">
        <f t="shared" si="80"/>
        <v>0</v>
      </c>
      <c r="AR160" s="523">
        <f t="shared" si="81"/>
        <v>0</v>
      </c>
      <c r="AS160" s="512">
        <v>0.18</v>
      </c>
      <c r="AT160" s="523">
        <f t="shared" si="79"/>
        <v>6.4001232</v>
      </c>
      <c r="AU160" s="526"/>
      <c r="AV160" s="526"/>
      <c r="AX160" s="527"/>
      <c r="AY160" s="527"/>
      <c r="AZ160" s="528"/>
    </row>
    <row r="161" spans="1:52" ht="27" customHeight="1">
      <c r="A161" s="744"/>
      <c r="B161" s="747"/>
      <c r="C161" s="747"/>
      <c r="D161" s="568">
        <v>2013</v>
      </c>
      <c r="E161" s="578">
        <f>G161+I161+K161+M161+O161+Q161</f>
        <v>18.2104</v>
      </c>
      <c r="F161" s="578">
        <f>24.1+12.2</f>
        <v>36.3</v>
      </c>
      <c r="G161" s="569">
        <f>18.2</f>
        <v>18.2</v>
      </c>
      <c r="H161" s="586"/>
      <c r="I161" s="578">
        <v>0</v>
      </c>
      <c r="J161" s="578">
        <v>36.3</v>
      </c>
      <c r="K161" s="569">
        <v>0.0104</v>
      </c>
      <c r="L161" s="586"/>
      <c r="M161" s="569">
        <v>0</v>
      </c>
      <c r="N161" s="586"/>
      <c r="O161" s="569">
        <v>0</v>
      </c>
      <c r="P161" s="569"/>
      <c r="Q161" s="569">
        <v>0</v>
      </c>
      <c r="R161" s="582"/>
      <c r="S161" s="744"/>
      <c r="T161" s="747"/>
      <c r="U161" s="493">
        <f>AE161</f>
        <v>0</v>
      </c>
      <c r="V161" s="493"/>
      <c r="W161" s="577">
        <v>0.1</v>
      </c>
      <c r="X161" s="577"/>
      <c r="Y161" s="577">
        <f>AT161</f>
        <v>1.9667232</v>
      </c>
      <c r="Z161" s="577"/>
      <c r="AA161" s="577">
        <f>AR161</f>
        <v>0</v>
      </c>
      <c r="AB161" s="577"/>
      <c r="AC161" s="577">
        <f>AQ161</f>
        <v>0</v>
      </c>
      <c r="AD161" s="700"/>
      <c r="AE161" s="512">
        <f t="shared" si="76"/>
        <v>0</v>
      </c>
      <c r="AF161" s="542">
        <v>0</v>
      </c>
      <c r="AH161" s="512">
        <v>11035</v>
      </c>
      <c r="AJ161" s="513">
        <v>106.23302983559877</v>
      </c>
      <c r="AK161" s="514">
        <v>105.1948604625895</v>
      </c>
      <c r="AL161" s="513">
        <v>104.86113485125321</v>
      </c>
      <c r="AM161" s="512">
        <v>12</v>
      </c>
      <c r="AN161" s="512">
        <v>1000000</v>
      </c>
      <c r="AO161" s="512">
        <v>0.12</v>
      </c>
      <c r="AP161" s="523">
        <f t="shared" si="84"/>
        <v>0</v>
      </c>
      <c r="AQ161" s="523">
        <f t="shared" si="80"/>
        <v>0</v>
      </c>
      <c r="AR161" s="523">
        <f t="shared" si="81"/>
        <v>0</v>
      </c>
      <c r="AS161" s="512">
        <v>0.18</v>
      </c>
      <c r="AT161" s="523">
        <f t="shared" si="79"/>
        <v>1.9667232</v>
      </c>
      <c r="AU161" s="526"/>
      <c r="AV161" s="526"/>
      <c r="AX161" s="527"/>
      <c r="AY161" s="527"/>
      <c r="AZ161" s="528"/>
    </row>
    <row r="162" spans="1:52" ht="27" customHeight="1">
      <c r="A162" s="744"/>
      <c r="B162" s="747"/>
      <c r="C162" s="747"/>
      <c r="D162" s="568">
        <v>2014</v>
      </c>
      <c r="E162" s="578">
        <v>21.05</v>
      </c>
      <c r="F162" s="578">
        <v>38.1</v>
      </c>
      <c r="G162" s="569">
        <f>1+20</f>
        <v>21</v>
      </c>
      <c r="H162" s="586">
        <v>31.2</v>
      </c>
      <c r="I162" s="578">
        <f>0.0396</f>
        <v>0.0396</v>
      </c>
      <c r="J162" s="578">
        <v>6.8</v>
      </c>
      <c r="K162" s="569">
        <v>0.0104</v>
      </c>
      <c r="L162" s="586">
        <v>0.045</v>
      </c>
      <c r="M162" s="569">
        <v>0</v>
      </c>
      <c r="N162" s="586"/>
      <c r="O162" s="569">
        <v>0</v>
      </c>
      <c r="P162" s="569"/>
      <c r="Q162" s="569">
        <v>0</v>
      </c>
      <c r="R162" s="582"/>
      <c r="S162" s="744"/>
      <c r="T162" s="747"/>
      <c r="U162" s="493">
        <f>AE162</f>
        <v>0</v>
      </c>
      <c r="V162" s="493"/>
      <c r="W162" s="577">
        <v>0.1</v>
      </c>
      <c r="X162" s="577">
        <f>Z162+AB162+AD162</f>
        <v>0.389</v>
      </c>
      <c r="Y162" s="577">
        <f>AT162</f>
        <v>2.2734</v>
      </c>
      <c r="Z162" s="577">
        <v>0.144</v>
      </c>
      <c r="AA162" s="577">
        <f>AR162</f>
        <v>0</v>
      </c>
      <c r="AB162" s="577">
        <v>0.157</v>
      </c>
      <c r="AC162" s="577">
        <f>AQ162</f>
        <v>0</v>
      </c>
      <c r="AD162" s="700">
        <v>0.088</v>
      </c>
      <c r="AE162" s="512">
        <f t="shared" si="76"/>
        <v>0</v>
      </c>
      <c r="AF162" s="542">
        <v>0</v>
      </c>
      <c r="AH162" s="512">
        <v>11035</v>
      </c>
      <c r="AJ162" s="513">
        <v>106.23302983559877</v>
      </c>
      <c r="AK162" s="514">
        <v>105.1948604625895</v>
      </c>
      <c r="AL162" s="513">
        <v>104.86113485125321</v>
      </c>
      <c r="AM162" s="512">
        <v>12</v>
      </c>
      <c r="AN162" s="512">
        <v>1000000</v>
      </c>
      <c r="AO162" s="512">
        <v>0.12</v>
      </c>
      <c r="AP162" s="523">
        <f t="shared" si="84"/>
        <v>0</v>
      </c>
      <c r="AQ162" s="523">
        <f t="shared" si="80"/>
        <v>0</v>
      </c>
      <c r="AR162" s="523">
        <f t="shared" si="81"/>
        <v>0</v>
      </c>
      <c r="AS162" s="512">
        <v>0.18</v>
      </c>
      <c r="AT162" s="523">
        <f t="shared" si="79"/>
        <v>2.2734</v>
      </c>
      <c r="AU162" s="526"/>
      <c r="AV162" s="526"/>
      <c r="AX162" s="527"/>
      <c r="AY162" s="527"/>
      <c r="AZ162" s="528"/>
    </row>
    <row r="163" spans="1:52" ht="27" customHeight="1">
      <c r="A163" s="745"/>
      <c r="B163" s="748"/>
      <c r="C163" s="748"/>
      <c r="D163" s="647">
        <v>2015</v>
      </c>
      <c r="E163" s="650">
        <f t="shared" si="82"/>
        <v>80.829</v>
      </c>
      <c r="F163" s="650">
        <v>60.839</v>
      </c>
      <c r="G163" s="634">
        <v>20</v>
      </c>
      <c r="H163" s="667">
        <v>51.5</v>
      </c>
      <c r="I163" s="650">
        <v>0</v>
      </c>
      <c r="J163" s="650">
        <v>7.02</v>
      </c>
      <c r="K163" s="634">
        <v>0</v>
      </c>
      <c r="L163" s="667">
        <v>2.309</v>
      </c>
      <c r="M163" s="634">
        <v>0</v>
      </c>
      <c r="N163" s="667"/>
      <c r="O163" s="634">
        <v>0</v>
      </c>
      <c r="P163" s="634"/>
      <c r="Q163" s="634">
        <v>0</v>
      </c>
      <c r="R163" s="662"/>
      <c r="S163" s="745"/>
      <c r="T163" s="748"/>
      <c r="U163" s="637">
        <f>AE163</f>
        <v>0</v>
      </c>
      <c r="V163" s="637"/>
      <c r="W163" s="646">
        <f>SUM(Y163+AA163+AC163)</f>
        <v>8.729531999999999</v>
      </c>
      <c r="X163" s="646"/>
      <c r="Y163" s="646">
        <f>AT163</f>
        <v>8.729531999999999</v>
      </c>
      <c r="Z163" s="646"/>
      <c r="AA163" s="646">
        <f>AR163</f>
        <v>0</v>
      </c>
      <c r="AB163" s="646"/>
      <c r="AC163" s="646">
        <f>AQ163</f>
        <v>0</v>
      </c>
      <c r="AD163" s="701"/>
      <c r="AE163" s="638">
        <f t="shared" si="76"/>
        <v>0</v>
      </c>
      <c r="AF163" s="663">
        <v>0</v>
      </c>
      <c r="AG163" s="638"/>
      <c r="AH163" s="638">
        <v>11035</v>
      </c>
      <c r="AI163" s="638"/>
      <c r="AJ163" s="641">
        <v>106.23302983559877</v>
      </c>
      <c r="AK163" s="642">
        <v>105.1948604625895</v>
      </c>
      <c r="AL163" s="641">
        <v>104.86113485125321</v>
      </c>
      <c r="AM163" s="638">
        <v>12</v>
      </c>
      <c r="AN163" s="638">
        <v>1000000</v>
      </c>
      <c r="AO163" s="638">
        <v>0.12</v>
      </c>
      <c r="AP163" s="643">
        <f t="shared" si="84"/>
        <v>0</v>
      </c>
      <c r="AQ163" s="643">
        <f t="shared" si="80"/>
        <v>0</v>
      </c>
      <c r="AR163" s="643">
        <f t="shared" si="81"/>
        <v>0</v>
      </c>
      <c r="AS163" s="512">
        <v>0.18</v>
      </c>
      <c r="AT163" s="523">
        <f t="shared" si="79"/>
        <v>8.729531999999999</v>
      </c>
      <c r="AU163" s="526"/>
      <c r="AV163" s="526"/>
      <c r="AX163" s="527"/>
      <c r="AY163" s="527"/>
      <c r="AZ163" s="528"/>
    </row>
    <row r="164" spans="1:52" ht="36" customHeight="1">
      <c r="A164" s="743">
        <v>7</v>
      </c>
      <c r="B164" s="746" t="s">
        <v>621</v>
      </c>
      <c r="C164" s="746" t="s">
        <v>263</v>
      </c>
      <c r="D164" s="568" t="s">
        <v>273</v>
      </c>
      <c r="E164" s="578">
        <f t="shared" si="82"/>
        <v>0</v>
      </c>
      <c r="F164" s="578"/>
      <c r="G164" s="569">
        <f aca="true" t="shared" si="87" ref="G164:Q164">SUM(G165:G167)</f>
        <v>0</v>
      </c>
      <c r="H164" s="586"/>
      <c r="I164" s="578">
        <f t="shared" si="87"/>
        <v>0</v>
      </c>
      <c r="J164" s="578"/>
      <c r="K164" s="569">
        <f t="shared" si="87"/>
        <v>0</v>
      </c>
      <c r="L164" s="586"/>
      <c r="M164" s="569">
        <f t="shared" si="87"/>
        <v>0</v>
      </c>
      <c r="N164" s="586"/>
      <c r="O164" s="569">
        <f t="shared" si="87"/>
        <v>0</v>
      </c>
      <c r="P164" s="569"/>
      <c r="Q164" s="569">
        <f t="shared" si="87"/>
        <v>0</v>
      </c>
      <c r="R164" s="581"/>
      <c r="S164" s="746" t="s">
        <v>463</v>
      </c>
      <c r="T164" s="830" t="s">
        <v>871</v>
      </c>
      <c r="U164" s="493">
        <f>SUM(U165:U167)</f>
        <v>0</v>
      </c>
      <c r="V164" s="493"/>
      <c r="W164" s="577">
        <f>SUM(W165:W167)</f>
        <v>0</v>
      </c>
      <c r="X164" s="577"/>
      <c r="Y164" s="577">
        <f>SUM(Y165:Y167)</f>
        <v>0</v>
      </c>
      <c r="Z164" s="577"/>
      <c r="AA164" s="577">
        <f>SUM(AA165:AA167)</f>
        <v>0</v>
      </c>
      <c r="AB164" s="577"/>
      <c r="AC164" s="577">
        <f>SUM(AC165:AC167)</f>
        <v>0</v>
      </c>
      <c r="AD164" s="700"/>
      <c r="AF164" s="520"/>
      <c r="AH164" s="512">
        <v>11035</v>
      </c>
      <c r="AJ164" s="513">
        <v>106.23302983559877</v>
      </c>
      <c r="AK164" s="514">
        <v>105.1948604625895</v>
      </c>
      <c r="AL164" s="513">
        <v>104.86113485125321</v>
      </c>
      <c r="AM164" s="512">
        <v>12</v>
      </c>
      <c r="AN164" s="512">
        <v>1000000</v>
      </c>
      <c r="AO164" s="512">
        <v>0.12</v>
      </c>
      <c r="AP164" s="523">
        <f t="shared" si="84"/>
        <v>0</v>
      </c>
      <c r="AQ164" s="523">
        <f t="shared" si="80"/>
        <v>0</v>
      </c>
      <c r="AR164" s="523">
        <f t="shared" si="81"/>
        <v>0</v>
      </c>
      <c r="AS164" s="512">
        <v>0.18</v>
      </c>
      <c r="AT164" s="523">
        <f t="shared" si="79"/>
        <v>0</v>
      </c>
      <c r="AU164" s="526"/>
      <c r="AV164" s="526"/>
      <c r="AX164" s="527"/>
      <c r="AY164" s="527"/>
      <c r="AZ164" s="528"/>
    </row>
    <row r="165" spans="1:52" ht="36" customHeight="1">
      <c r="A165" s="744"/>
      <c r="B165" s="747"/>
      <c r="C165" s="747"/>
      <c r="D165" s="568">
        <v>2013</v>
      </c>
      <c r="E165" s="578">
        <f t="shared" si="82"/>
        <v>0</v>
      </c>
      <c r="F165" s="578"/>
      <c r="G165" s="569">
        <v>0</v>
      </c>
      <c r="H165" s="586"/>
      <c r="I165" s="578">
        <v>0</v>
      </c>
      <c r="J165" s="578"/>
      <c r="K165" s="569">
        <v>0</v>
      </c>
      <c r="L165" s="586"/>
      <c r="M165" s="569">
        <v>0</v>
      </c>
      <c r="N165" s="586"/>
      <c r="O165" s="569">
        <v>0</v>
      </c>
      <c r="P165" s="569"/>
      <c r="Q165" s="569">
        <v>0</v>
      </c>
      <c r="R165" s="582"/>
      <c r="S165" s="747"/>
      <c r="T165" s="831"/>
      <c r="U165" s="493">
        <f>AE165</f>
        <v>0</v>
      </c>
      <c r="V165" s="493"/>
      <c r="W165" s="577">
        <f>SUM(Y165:AC165)</f>
        <v>0</v>
      </c>
      <c r="X165" s="577"/>
      <c r="Y165" s="577">
        <f>AT165</f>
        <v>0</v>
      </c>
      <c r="Z165" s="577"/>
      <c r="AA165" s="577">
        <f>AR165</f>
        <v>0</v>
      </c>
      <c r="AB165" s="577"/>
      <c r="AC165" s="577">
        <f>AQ165</f>
        <v>0</v>
      </c>
      <c r="AD165" s="700"/>
      <c r="AE165" s="512">
        <f t="shared" si="76"/>
        <v>0</v>
      </c>
      <c r="AF165" s="542">
        <v>0</v>
      </c>
      <c r="AH165" s="512">
        <v>11035</v>
      </c>
      <c r="AJ165" s="513">
        <v>106.23302983559877</v>
      </c>
      <c r="AK165" s="514">
        <v>105.1948604625895</v>
      </c>
      <c r="AL165" s="513">
        <v>104.86113485125321</v>
      </c>
      <c r="AM165" s="512">
        <v>12</v>
      </c>
      <c r="AN165" s="512">
        <v>1000000</v>
      </c>
      <c r="AO165" s="512">
        <v>0.12</v>
      </c>
      <c r="AP165" s="523">
        <f t="shared" si="84"/>
        <v>0</v>
      </c>
      <c r="AQ165" s="523">
        <f t="shared" si="80"/>
        <v>0</v>
      </c>
      <c r="AR165" s="523">
        <f t="shared" si="81"/>
        <v>0</v>
      </c>
      <c r="AS165" s="512">
        <v>0.18</v>
      </c>
      <c r="AT165" s="523">
        <f t="shared" si="79"/>
        <v>0</v>
      </c>
      <c r="AU165" s="526"/>
      <c r="AV165" s="526"/>
      <c r="AX165" s="527"/>
      <c r="AY165" s="527"/>
      <c r="AZ165" s="528"/>
    </row>
    <row r="166" spans="1:52" ht="36" customHeight="1">
      <c r="A166" s="744"/>
      <c r="B166" s="747"/>
      <c r="C166" s="747"/>
      <c r="D166" s="568">
        <v>2014</v>
      </c>
      <c r="E166" s="578">
        <f t="shared" si="82"/>
        <v>0</v>
      </c>
      <c r="F166" s="578"/>
      <c r="G166" s="569">
        <v>0</v>
      </c>
      <c r="H166" s="586"/>
      <c r="I166" s="578">
        <v>0</v>
      </c>
      <c r="J166" s="578"/>
      <c r="K166" s="569">
        <v>0</v>
      </c>
      <c r="L166" s="586"/>
      <c r="M166" s="569">
        <v>0</v>
      </c>
      <c r="N166" s="586"/>
      <c r="O166" s="569">
        <v>0</v>
      </c>
      <c r="P166" s="569"/>
      <c r="Q166" s="569">
        <v>0</v>
      </c>
      <c r="R166" s="582"/>
      <c r="S166" s="747"/>
      <c r="T166" s="831"/>
      <c r="U166" s="493">
        <f>AE166</f>
        <v>0</v>
      </c>
      <c r="V166" s="493"/>
      <c r="W166" s="577">
        <f>SUM(Y166:AC166)</f>
        <v>0</v>
      </c>
      <c r="X166" s="577">
        <v>0.259</v>
      </c>
      <c r="Y166" s="577">
        <f>AT166</f>
        <v>0</v>
      </c>
      <c r="Z166" s="577"/>
      <c r="AA166" s="577">
        <f>AR166</f>
        <v>0</v>
      </c>
      <c r="AB166" s="577"/>
      <c r="AC166" s="577">
        <f>AQ166</f>
        <v>0</v>
      </c>
      <c r="AD166" s="700">
        <v>0.259</v>
      </c>
      <c r="AE166" s="512">
        <f t="shared" si="76"/>
        <v>0</v>
      </c>
      <c r="AF166" s="542">
        <v>0</v>
      </c>
      <c r="AH166" s="512">
        <v>11035</v>
      </c>
      <c r="AJ166" s="513">
        <v>106.23302983559877</v>
      </c>
      <c r="AK166" s="514">
        <v>105.1948604625895</v>
      </c>
      <c r="AL166" s="513">
        <v>104.86113485125321</v>
      </c>
      <c r="AM166" s="512">
        <v>12</v>
      </c>
      <c r="AN166" s="512">
        <v>1000000</v>
      </c>
      <c r="AO166" s="512">
        <v>0.12</v>
      </c>
      <c r="AP166" s="523">
        <f t="shared" si="84"/>
        <v>0</v>
      </c>
      <c r="AQ166" s="523">
        <f t="shared" si="80"/>
        <v>0</v>
      </c>
      <c r="AR166" s="523">
        <f t="shared" si="81"/>
        <v>0</v>
      </c>
      <c r="AS166" s="512">
        <v>0.18</v>
      </c>
      <c r="AT166" s="523">
        <f t="shared" si="79"/>
        <v>0</v>
      </c>
      <c r="AU166" s="526"/>
      <c r="AV166" s="526"/>
      <c r="AX166" s="527"/>
      <c r="AY166" s="527"/>
      <c r="AZ166" s="528"/>
    </row>
    <row r="167" spans="1:52" ht="36" customHeight="1">
      <c r="A167" s="745"/>
      <c r="B167" s="748"/>
      <c r="C167" s="748"/>
      <c r="D167" s="491">
        <v>2015</v>
      </c>
      <c r="E167" s="578">
        <f t="shared" si="82"/>
        <v>0</v>
      </c>
      <c r="F167" s="578"/>
      <c r="G167" s="569">
        <v>0</v>
      </c>
      <c r="H167" s="586"/>
      <c r="I167" s="578">
        <v>0</v>
      </c>
      <c r="J167" s="578"/>
      <c r="K167" s="569">
        <v>0</v>
      </c>
      <c r="L167" s="586"/>
      <c r="M167" s="569">
        <v>0</v>
      </c>
      <c r="N167" s="586"/>
      <c r="O167" s="569">
        <v>0</v>
      </c>
      <c r="P167" s="569"/>
      <c r="Q167" s="569">
        <v>0</v>
      </c>
      <c r="R167" s="583"/>
      <c r="S167" s="748"/>
      <c r="T167" s="832"/>
      <c r="U167" s="493">
        <f>AE167</f>
        <v>0</v>
      </c>
      <c r="V167" s="493"/>
      <c r="W167" s="577">
        <f>SUM(Y167:AC167)</f>
        <v>0</v>
      </c>
      <c r="X167" s="577"/>
      <c r="Y167" s="577">
        <f>AT167</f>
        <v>0</v>
      </c>
      <c r="Z167" s="577"/>
      <c r="AA167" s="577">
        <f>AR167</f>
        <v>0</v>
      </c>
      <c r="AB167" s="577"/>
      <c r="AC167" s="577">
        <f>AQ167</f>
        <v>0</v>
      </c>
      <c r="AD167" s="700"/>
      <c r="AE167" s="512">
        <f t="shared" si="76"/>
        <v>0</v>
      </c>
      <c r="AF167" s="542">
        <v>0</v>
      </c>
      <c r="AH167" s="512">
        <v>11035</v>
      </c>
      <c r="AJ167" s="513">
        <v>106.23302983559877</v>
      </c>
      <c r="AK167" s="514">
        <v>105.1948604625895</v>
      </c>
      <c r="AL167" s="513">
        <v>104.86113485125321</v>
      </c>
      <c r="AM167" s="512">
        <v>12</v>
      </c>
      <c r="AN167" s="512">
        <v>1000000</v>
      </c>
      <c r="AO167" s="512">
        <v>0.12</v>
      </c>
      <c r="AP167" s="523">
        <f t="shared" si="84"/>
        <v>0</v>
      </c>
      <c r="AQ167" s="523">
        <f t="shared" si="80"/>
        <v>0</v>
      </c>
      <c r="AR167" s="523">
        <f t="shared" si="81"/>
        <v>0</v>
      </c>
      <c r="AS167" s="512">
        <v>0.18</v>
      </c>
      <c r="AT167" s="523">
        <f t="shared" si="79"/>
        <v>0</v>
      </c>
      <c r="AU167" s="526"/>
      <c r="AV167" s="526"/>
      <c r="AX167" s="527"/>
      <c r="AY167" s="527"/>
      <c r="AZ167" s="528"/>
    </row>
    <row r="168" spans="1:52" ht="60" customHeight="1">
      <c r="A168" s="743">
        <v>8</v>
      </c>
      <c r="B168" s="746" t="s">
        <v>622</v>
      </c>
      <c r="C168" s="746" t="s">
        <v>851</v>
      </c>
      <c r="D168" s="568" t="s">
        <v>273</v>
      </c>
      <c r="E168" s="578">
        <f t="shared" si="82"/>
        <v>2.545</v>
      </c>
      <c r="F168" s="578"/>
      <c r="G168" s="569">
        <f aca="true" t="shared" si="88" ref="G168:Q168">SUM(G169:G171)</f>
        <v>2.4</v>
      </c>
      <c r="H168" s="586"/>
      <c r="I168" s="578">
        <f t="shared" si="88"/>
        <v>0.095</v>
      </c>
      <c r="J168" s="578"/>
      <c r="K168" s="584">
        <f t="shared" si="88"/>
        <v>0.05</v>
      </c>
      <c r="L168" s="586"/>
      <c r="M168" s="569">
        <f t="shared" si="88"/>
        <v>0</v>
      </c>
      <c r="N168" s="586"/>
      <c r="O168" s="569">
        <f t="shared" si="88"/>
        <v>0</v>
      </c>
      <c r="P168" s="569"/>
      <c r="Q168" s="569">
        <f t="shared" si="88"/>
        <v>0</v>
      </c>
      <c r="R168" s="581"/>
      <c r="S168" s="743"/>
      <c r="T168" s="768" t="s">
        <v>296</v>
      </c>
      <c r="U168" s="493">
        <f>SUM(U169:U171)</f>
        <v>0</v>
      </c>
      <c r="V168" s="493"/>
      <c r="W168" s="577">
        <f>SUM(W169:W171)</f>
        <v>0.27486000000000005</v>
      </c>
      <c r="X168" s="577"/>
      <c r="Y168" s="577">
        <f>SUM(Y169:Y171)</f>
        <v>0.27486000000000005</v>
      </c>
      <c r="Z168" s="577"/>
      <c r="AA168" s="577">
        <f>SUM(AA169:AA171)</f>
        <v>0</v>
      </c>
      <c r="AB168" s="577"/>
      <c r="AC168" s="577">
        <f>SUM(AC169:AC171)</f>
        <v>0</v>
      </c>
      <c r="AD168" s="700"/>
      <c r="AF168" s="520"/>
      <c r="AH168" s="512">
        <v>11035</v>
      </c>
      <c r="AJ168" s="513">
        <v>106.23302983559877</v>
      </c>
      <c r="AK168" s="514">
        <v>105.1948604625895</v>
      </c>
      <c r="AL168" s="513">
        <v>104.86113485125321</v>
      </c>
      <c r="AM168" s="512">
        <v>12</v>
      </c>
      <c r="AN168" s="512">
        <v>1000000</v>
      </c>
      <c r="AO168" s="512">
        <v>0.12</v>
      </c>
      <c r="AP168" s="523">
        <f t="shared" si="84"/>
        <v>0</v>
      </c>
      <c r="AQ168" s="523">
        <f t="shared" si="80"/>
        <v>0</v>
      </c>
      <c r="AR168" s="523">
        <f t="shared" si="81"/>
        <v>0</v>
      </c>
      <c r="AS168" s="512">
        <v>0.18</v>
      </c>
      <c r="AT168" s="523">
        <f t="shared" si="79"/>
        <v>0.27486</v>
      </c>
      <c r="AU168" s="526"/>
      <c r="AV168" s="526"/>
      <c r="AX168" s="527"/>
      <c r="AY168" s="527"/>
      <c r="AZ168" s="528"/>
    </row>
    <row r="169" spans="1:52" ht="60" customHeight="1">
      <c r="A169" s="744"/>
      <c r="B169" s="747"/>
      <c r="C169" s="747"/>
      <c r="D169" s="568">
        <v>2013</v>
      </c>
      <c r="E169" s="578">
        <f>G169+I169+K169+M169+O169+Q169</f>
        <v>2.52</v>
      </c>
      <c r="F169" s="578">
        <v>0.09945</v>
      </c>
      <c r="G169" s="569">
        <v>2.4</v>
      </c>
      <c r="H169" s="586"/>
      <c r="I169" s="578">
        <v>0.095</v>
      </c>
      <c r="J169" s="578">
        <v>0.095</v>
      </c>
      <c r="K169" s="584">
        <v>0.025</v>
      </c>
      <c r="L169" s="586">
        <v>0.00475</v>
      </c>
      <c r="M169" s="569">
        <v>0</v>
      </c>
      <c r="N169" s="586"/>
      <c r="O169" s="569">
        <v>0</v>
      </c>
      <c r="P169" s="569"/>
      <c r="Q169" s="569">
        <v>0</v>
      </c>
      <c r="R169" s="582"/>
      <c r="S169" s="744"/>
      <c r="T169" s="769"/>
      <c r="U169" s="493">
        <f>AE169</f>
        <v>0</v>
      </c>
      <c r="V169" s="493"/>
      <c r="W169" s="577">
        <f>SUM(Y169:AC169)</f>
        <v>0.27216</v>
      </c>
      <c r="X169" s="577"/>
      <c r="Y169" s="577">
        <f>AT169</f>
        <v>0.27216</v>
      </c>
      <c r="Z169" s="577"/>
      <c r="AA169" s="577">
        <f>AR169</f>
        <v>0</v>
      </c>
      <c r="AB169" s="577"/>
      <c r="AC169" s="577">
        <f>AQ169</f>
        <v>0</v>
      </c>
      <c r="AD169" s="700"/>
      <c r="AE169" s="512">
        <f t="shared" si="76"/>
        <v>0</v>
      </c>
      <c r="AF169" s="542">
        <v>0</v>
      </c>
      <c r="AH169" s="512">
        <v>11035</v>
      </c>
      <c r="AJ169" s="513">
        <v>106.23302983559877</v>
      </c>
      <c r="AK169" s="514">
        <v>105.1948604625895</v>
      </c>
      <c r="AL169" s="513">
        <v>104.86113485125321</v>
      </c>
      <c r="AM169" s="512">
        <v>12</v>
      </c>
      <c r="AN169" s="512">
        <v>1000000</v>
      </c>
      <c r="AO169" s="512">
        <v>0.12</v>
      </c>
      <c r="AP169" s="523">
        <f t="shared" si="84"/>
        <v>0</v>
      </c>
      <c r="AQ169" s="523">
        <f t="shared" si="80"/>
        <v>0</v>
      </c>
      <c r="AR169" s="523">
        <f t="shared" si="81"/>
        <v>0</v>
      </c>
      <c r="AS169" s="512">
        <v>0.18</v>
      </c>
      <c r="AT169" s="523">
        <f t="shared" si="79"/>
        <v>0.27216</v>
      </c>
      <c r="AU169" s="526"/>
      <c r="AV169" s="526"/>
      <c r="AX169" s="527"/>
      <c r="AY169" s="527"/>
      <c r="AZ169" s="528"/>
    </row>
    <row r="170" spans="1:52" ht="60" customHeight="1">
      <c r="A170" s="744"/>
      <c r="B170" s="747"/>
      <c r="C170" s="747"/>
      <c r="D170" s="568">
        <v>2014</v>
      </c>
      <c r="E170" s="578">
        <v>0.0125</v>
      </c>
      <c r="F170" s="578">
        <v>0.074</v>
      </c>
      <c r="G170" s="569">
        <v>0</v>
      </c>
      <c r="H170" s="586"/>
      <c r="I170" s="578">
        <v>0</v>
      </c>
      <c r="J170" s="578"/>
      <c r="K170" s="584">
        <v>0.0125</v>
      </c>
      <c r="L170" s="586">
        <v>0.02</v>
      </c>
      <c r="M170" s="569">
        <v>0</v>
      </c>
      <c r="N170" s="586">
        <v>0.055</v>
      </c>
      <c r="O170" s="569">
        <v>0</v>
      </c>
      <c r="P170" s="569"/>
      <c r="Q170" s="569">
        <v>0</v>
      </c>
      <c r="R170" s="582"/>
      <c r="S170" s="744"/>
      <c r="T170" s="769"/>
      <c r="U170" s="493">
        <f>AE170</f>
        <v>0</v>
      </c>
      <c r="V170" s="493"/>
      <c r="W170" s="577">
        <f>SUM(Y170:AC170)</f>
        <v>0.0013499999999999999</v>
      </c>
      <c r="X170" s="577"/>
      <c r="Y170" s="577">
        <f>AT170</f>
        <v>0.0013499999999999999</v>
      </c>
      <c r="Z170" s="577"/>
      <c r="AA170" s="577">
        <f>AR170</f>
        <v>0</v>
      </c>
      <c r="AB170" s="577"/>
      <c r="AC170" s="577">
        <f>AQ170</f>
        <v>0</v>
      </c>
      <c r="AD170" s="700"/>
      <c r="AE170" s="512">
        <f t="shared" si="76"/>
        <v>0</v>
      </c>
      <c r="AF170" s="542">
        <v>0</v>
      </c>
      <c r="AH170" s="512">
        <v>11035</v>
      </c>
      <c r="AJ170" s="513">
        <v>106.23302983559877</v>
      </c>
      <c r="AK170" s="514">
        <v>105.1948604625895</v>
      </c>
      <c r="AL170" s="513">
        <v>104.86113485125321</v>
      </c>
      <c r="AM170" s="512">
        <v>12</v>
      </c>
      <c r="AN170" s="512">
        <v>1000000</v>
      </c>
      <c r="AO170" s="512">
        <v>0.12</v>
      </c>
      <c r="AP170" s="523">
        <f t="shared" si="84"/>
        <v>0</v>
      </c>
      <c r="AQ170" s="523">
        <f t="shared" si="80"/>
        <v>0</v>
      </c>
      <c r="AR170" s="523">
        <f t="shared" si="81"/>
        <v>0</v>
      </c>
      <c r="AS170" s="512">
        <v>0.18</v>
      </c>
      <c r="AT170" s="523">
        <f t="shared" si="79"/>
        <v>0.0013499999999999999</v>
      </c>
      <c r="AU170" s="526"/>
      <c r="AV170" s="526"/>
      <c r="AX170" s="527"/>
      <c r="AY170" s="527"/>
      <c r="AZ170" s="528"/>
    </row>
    <row r="171" spans="1:52" s="644" customFormat="1" ht="60" customHeight="1">
      <c r="A171" s="745"/>
      <c r="B171" s="748"/>
      <c r="C171" s="748"/>
      <c r="D171" s="647">
        <v>2015</v>
      </c>
      <c r="E171" s="650">
        <v>0.0125</v>
      </c>
      <c r="F171" s="650">
        <v>0.04</v>
      </c>
      <c r="G171" s="634">
        <v>0</v>
      </c>
      <c r="H171" s="667"/>
      <c r="I171" s="650">
        <v>0</v>
      </c>
      <c r="J171" s="650"/>
      <c r="K171" s="668">
        <v>0.0125</v>
      </c>
      <c r="L171" s="667"/>
      <c r="M171" s="634">
        <v>0</v>
      </c>
      <c r="N171" s="667">
        <v>0.04</v>
      </c>
      <c r="O171" s="634">
        <v>0</v>
      </c>
      <c r="P171" s="634"/>
      <c r="Q171" s="634">
        <v>0</v>
      </c>
      <c r="R171" s="662"/>
      <c r="S171" s="745"/>
      <c r="T171" s="770"/>
      <c r="U171" s="637">
        <f>AE171</f>
        <v>0</v>
      </c>
      <c r="V171" s="637"/>
      <c r="W171" s="646">
        <f>SUM(Y171:AC171)</f>
        <v>0.0013499999999999999</v>
      </c>
      <c r="X171" s="646"/>
      <c r="Y171" s="646">
        <f>AT171</f>
        <v>0.0013499999999999999</v>
      </c>
      <c r="Z171" s="646"/>
      <c r="AA171" s="646">
        <f>AR171</f>
        <v>0</v>
      </c>
      <c r="AB171" s="646"/>
      <c r="AC171" s="646">
        <f>AQ171</f>
        <v>0</v>
      </c>
      <c r="AD171" s="701"/>
      <c r="AE171" s="638">
        <f t="shared" si="76"/>
        <v>0</v>
      </c>
      <c r="AF171" s="663">
        <v>0</v>
      </c>
      <c r="AG171" s="638"/>
      <c r="AH171" s="638">
        <v>11035</v>
      </c>
      <c r="AI171" s="638"/>
      <c r="AJ171" s="641">
        <v>106.23302983559877</v>
      </c>
      <c r="AK171" s="642">
        <v>105.1948604625895</v>
      </c>
      <c r="AL171" s="641">
        <v>104.86113485125321</v>
      </c>
      <c r="AM171" s="638">
        <v>12</v>
      </c>
      <c r="AN171" s="638">
        <v>1000000</v>
      </c>
      <c r="AO171" s="638">
        <v>0.12</v>
      </c>
      <c r="AP171" s="643">
        <f t="shared" si="84"/>
        <v>0</v>
      </c>
      <c r="AQ171" s="643">
        <f t="shared" si="80"/>
        <v>0</v>
      </c>
      <c r="AR171" s="643">
        <f t="shared" si="81"/>
        <v>0</v>
      </c>
      <c r="AS171" s="638">
        <v>0.18</v>
      </c>
      <c r="AT171" s="643">
        <f t="shared" si="79"/>
        <v>0.0013499999999999999</v>
      </c>
      <c r="AU171" s="664"/>
      <c r="AV171" s="664"/>
      <c r="AX171" s="665"/>
      <c r="AY171" s="665"/>
      <c r="AZ171" s="666"/>
    </row>
    <row r="172" spans="1:52" ht="60" customHeight="1">
      <c r="A172" s="743">
        <v>9</v>
      </c>
      <c r="B172" s="746" t="s">
        <v>261</v>
      </c>
      <c r="C172" s="746" t="s">
        <v>851</v>
      </c>
      <c r="D172" s="568" t="s">
        <v>273</v>
      </c>
      <c r="E172" s="578">
        <f t="shared" si="82"/>
        <v>3.1550000000000002</v>
      </c>
      <c r="F172" s="578"/>
      <c r="G172" s="569">
        <f aca="true" t="shared" si="89" ref="G172:Q172">SUM(G173:G175)</f>
        <v>3</v>
      </c>
      <c r="H172" s="586"/>
      <c r="I172" s="578">
        <f t="shared" si="89"/>
        <v>0.1185</v>
      </c>
      <c r="J172" s="578"/>
      <c r="K172" s="580">
        <f t="shared" si="89"/>
        <v>0.0365</v>
      </c>
      <c r="L172" s="586"/>
      <c r="M172" s="569">
        <f t="shared" si="89"/>
        <v>0</v>
      </c>
      <c r="N172" s="586"/>
      <c r="O172" s="569">
        <f t="shared" si="89"/>
        <v>0</v>
      </c>
      <c r="P172" s="569"/>
      <c r="Q172" s="569">
        <f t="shared" si="89"/>
        <v>0</v>
      </c>
      <c r="R172" s="581"/>
      <c r="S172" s="743"/>
      <c r="T172" s="768" t="s">
        <v>297</v>
      </c>
      <c r="U172" s="493">
        <f>SUM(U173:U175)</f>
        <v>12</v>
      </c>
      <c r="V172" s="493"/>
      <c r="W172" s="577">
        <f>SUM(W173:W175)</f>
        <v>0.5433102404759518</v>
      </c>
      <c r="X172" s="577"/>
      <c r="Y172" s="577">
        <f>SUM(Y173:Y175)</f>
        <v>0.34074</v>
      </c>
      <c r="Z172" s="577"/>
      <c r="AA172" s="577">
        <f>SUM(AA173:AA175)</f>
        <v>0.10981332736201349</v>
      </c>
      <c r="AB172" s="577"/>
      <c r="AC172" s="577">
        <f>SUM(AC173:AC175)</f>
        <v>0.09275691311393833</v>
      </c>
      <c r="AD172" s="700"/>
      <c r="AF172" s="520"/>
      <c r="AG172" s="520"/>
      <c r="AH172" s="512">
        <v>11035</v>
      </c>
      <c r="AJ172" s="513">
        <v>106.23302983559877</v>
      </c>
      <c r="AK172" s="514">
        <v>105.1948604625895</v>
      </c>
      <c r="AL172" s="513">
        <v>104.86113485125321</v>
      </c>
      <c r="AM172" s="512">
        <v>12</v>
      </c>
      <c r="AN172" s="512">
        <v>1000000</v>
      </c>
      <c r="AO172" s="512">
        <v>0.12</v>
      </c>
      <c r="AP172" s="523">
        <f t="shared" si="84"/>
        <v>0</v>
      </c>
      <c r="AQ172" s="523">
        <f t="shared" si="80"/>
        <v>0</v>
      </c>
      <c r="AR172" s="523">
        <f t="shared" si="81"/>
        <v>0</v>
      </c>
      <c r="AS172" s="512">
        <v>0.18</v>
      </c>
      <c r="AT172" s="523">
        <f t="shared" si="79"/>
        <v>0.34074</v>
      </c>
      <c r="AU172" s="526"/>
      <c r="AV172" s="526"/>
      <c r="AX172" s="527"/>
      <c r="AY172" s="527"/>
      <c r="AZ172" s="528"/>
    </row>
    <row r="173" spans="1:52" ht="60" customHeight="1">
      <c r="A173" s="744"/>
      <c r="B173" s="747"/>
      <c r="C173" s="747"/>
      <c r="D173" s="568">
        <v>2013</v>
      </c>
      <c r="E173" s="578">
        <f>G173+I173+K173+M173+O173+Q173</f>
        <v>3.1550000000000002</v>
      </c>
      <c r="F173" s="578">
        <f>(124.425+5)/1000</f>
        <v>0.129425</v>
      </c>
      <c r="G173" s="585">
        <v>3</v>
      </c>
      <c r="H173" s="586"/>
      <c r="I173" s="578">
        <v>0.1185</v>
      </c>
      <c r="J173" s="578">
        <f>118.5/1000</f>
        <v>0.1185</v>
      </c>
      <c r="K173" s="578">
        <v>0.0365</v>
      </c>
      <c r="L173" s="586">
        <f>(5.92+5)/1000</f>
        <v>0.01092</v>
      </c>
      <c r="M173" s="569">
        <v>0</v>
      </c>
      <c r="N173" s="586"/>
      <c r="O173" s="569">
        <v>0</v>
      </c>
      <c r="P173" s="569"/>
      <c r="Q173" s="569">
        <v>0</v>
      </c>
      <c r="R173" s="582"/>
      <c r="S173" s="744"/>
      <c r="T173" s="769"/>
      <c r="U173" s="493">
        <f>AE173</f>
        <v>12</v>
      </c>
      <c r="V173" s="493"/>
      <c r="W173" s="577">
        <f>SUM(Y173:AC173)</f>
        <v>0.5433102404759518</v>
      </c>
      <c r="X173" s="577"/>
      <c r="Y173" s="577">
        <f>AT173</f>
        <v>0.34074</v>
      </c>
      <c r="Z173" s="577"/>
      <c r="AA173" s="577">
        <f>AR173</f>
        <v>0.10981332736201349</v>
      </c>
      <c r="AB173" s="577"/>
      <c r="AC173" s="577">
        <f>AQ173</f>
        <v>0.09275691311393833</v>
      </c>
      <c r="AD173" s="700"/>
      <c r="AE173" s="512">
        <f t="shared" si="76"/>
        <v>12</v>
      </c>
      <c r="AF173" s="542">
        <v>0</v>
      </c>
      <c r="AG173" s="511">
        <v>12</v>
      </c>
      <c r="AH173" s="512">
        <v>11035</v>
      </c>
      <c r="AJ173" s="513">
        <v>106.23302983559877</v>
      </c>
      <c r="AK173" s="514">
        <v>105.1948604625895</v>
      </c>
      <c r="AL173" s="513">
        <v>104.86113485125321</v>
      </c>
      <c r="AM173" s="512">
        <v>12</v>
      </c>
      <c r="AN173" s="512">
        <v>1000000</v>
      </c>
      <c r="AO173" s="512">
        <v>0.12</v>
      </c>
      <c r="AP173" s="523">
        <f t="shared" si="84"/>
        <v>0.20257024047595182</v>
      </c>
      <c r="AQ173" s="523">
        <f t="shared" si="80"/>
        <v>0.09275691311393833</v>
      </c>
      <c r="AR173" s="523">
        <f t="shared" si="81"/>
        <v>0.10981332736201349</v>
      </c>
      <c r="AS173" s="512">
        <v>0.18</v>
      </c>
      <c r="AT173" s="523">
        <f t="shared" si="79"/>
        <v>0.34074</v>
      </c>
      <c r="AU173" s="526"/>
      <c r="AV173" s="526"/>
      <c r="AX173" s="527"/>
      <c r="AY173" s="527"/>
      <c r="AZ173" s="528"/>
    </row>
    <row r="174" spans="1:52" ht="60" customHeight="1">
      <c r="A174" s="744"/>
      <c r="B174" s="747"/>
      <c r="C174" s="747"/>
      <c r="D174" s="568">
        <v>2014</v>
      </c>
      <c r="E174" s="578">
        <f t="shared" si="82"/>
        <v>0</v>
      </c>
      <c r="F174" s="578"/>
      <c r="G174" s="585">
        <v>0</v>
      </c>
      <c r="H174" s="586"/>
      <c r="I174" s="578">
        <v>0</v>
      </c>
      <c r="J174" s="578"/>
      <c r="K174" s="585">
        <v>0</v>
      </c>
      <c r="L174" s="586"/>
      <c r="M174" s="569">
        <v>0</v>
      </c>
      <c r="N174" s="586"/>
      <c r="O174" s="569">
        <v>0</v>
      </c>
      <c r="P174" s="569"/>
      <c r="Q174" s="569">
        <v>0</v>
      </c>
      <c r="R174" s="582"/>
      <c r="S174" s="744"/>
      <c r="T174" s="769"/>
      <c r="U174" s="493">
        <f>AE174</f>
        <v>0</v>
      </c>
      <c r="V174" s="493"/>
      <c r="W174" s="577">
        <f>SUM(Y174:AC174)</f>
        <v>0</v>
      </c>
      <c r="X174" s="577"/>
      <c r="Y174" s="577">
        <f>AT174</f>
        <v>0</v>
      </c>
      <c r="Z174" s="577"/>
      <c r="AA174" s="577">
        <f>AR174</f>
        <v>0</v>
      </c>
      <c r="AB174" s="577"/>
      <c r="AC174" s="577">
        <f>AQ174</f>
        <v>0</v>
      </c>
      <c r="AD174" s="700"/>
      <c r="AE174" s="512">
        <f t="shared" si="76"/>
        <v>0</v>
      </c>
      <c r="AF174" s="542">
        <v>0</v>
      </c>
      <c r="AH174" s="512">
        <v>11035</v>
      </c>
      <c r="AJ174" s="513">
        <v>106.23302983559877</v>
      </c>
      <c r="AK174" s="514">
        <v>105.1948604625895</v>
      </c>
      <c r="AL174" s="513">
        <v>104.86113485125321</v>
      </c>
      <c r="AM174" s="512">
        <v>12</v>
      </c>
      <c r="AN174" s="512">
        <v>1000000</v>
      </c>
      <c r="AO174" s="512">
        <v>0.12</v>
      </c>
      <c r="AP174" s="523">
        <f t="shared" si="84"/>
        <v>0</v>
      </c>
      <c r="AQ174" s="523">
        <f t="shared" si="80"/>
        <v>0</v>
      </c>
      <c r="AR174" s="523">
        <f t="shared" si="81"/>
        <v>0</v>
      </c>
      <c r="AS174" s="512">
        <v>0.18</v>
      </c>
      <c r="AT174" s="523">
        <f t="shared" si="79"/>
        <v>0</v>
      </c>
      <c r="AU174" s="526"/>
      <c r="AV174" s="526"/>
      <c r="AX174" s="527"/>
      <c r="AY174" s="527"/>
      <c r="AZ174" s="528"/>
    </row>
    <row r="175" spans="1:52" s="644" customFormat="1" ht="60" customHeight="1">
      <c r="A175" s="745"/>
      <c r="B175" s="748"/>
      <c r="C175" s="748"/>
      <c r="D175" s="647">
        <v>2015</v>
      </c>
      <c r="E175" s="650">
        <v>0</v>
      </c>
      <c r="F175" s="650">
        <v>0.52</v>
      </c>
      <c r="G175" s="658">
        <v>0</v>
      </c>
      <c r="H175" s="667"/>
      <c r="I175" s="650">
        <v>0</v>
      </c>
      <c r="J175" s="650"/>
      <c r="K175" s="658">
        <v>0</v>
      </c>
      <c r="L175" s="667">
        <v>0.52</v>
      </c>
      <c r="M175" s="634">
        <v>0</v>
      </c>
      <c r="N175" s="667"/>
      <c r="O175" s="634">
        <v>0</v>
      </c>
      <c r="P175" s="634"/>
      <c r="Q175" s="634">
        <v>0</v>
      </c>
      <c r="R175" s="662"/>
      <c r="S175" s="745"/>
      <c r="T175" s="770"/>
      <c r="U175" s="637">
        <f>AE175</f>
        <v>0</v>
      </c>
      <c r="V175" s="637"/>
      <c r="W175" s="646">
        <f>SUM(Y175:AC175)</f>
        <v>0</v>
      </c>
      <c r="X175" s="646"/>
      <c r="Y175" s="646">
        <f>AT175</f>
        <v>0</v>
      </c>
      <c r="Z175" s="646"/>
      <c r="AA175" s="646">
        <f>AR175</f>
        <v>0</v>
      </c>
      <c r="AB175" s="646"/>
      <c r="AC175" s="646">
        <f>AQ175</f>
        <v>0</v>
      </c>
      <c r="AD175" s="701"/>
      <c r="AE175" s="638">
        <f t="shared" si="76"/>
        <v>0</v>
      </c>
      <c r="AF175" s="663">
        <v>0</v>
      </c>
      <c r="AG175" s="638"/>
      <c r="AH175" s="638">
        <v>11035</v>
      </c>
      <c r="AI175" s="638"/>
      <c r="AJ175" s="641">
        <v>106.23302983559877</v>
      </c>
      <c r="AK175" s="642">
        <v>105.1948604625895</v>
      </c>
      <c r="AL175" s="641">
        <v>104.86113485125321</v>
      </c>
      <c r="AM175" s="638">
        <v>12</v>
      </c>
      <c r="AN175" s="638">
        <v>1000000</v>
      </c>
      <c r="AO175" s="638">
        <v>0.12</v>
      </c>
      <c r="AP175" s="643">
        <f t="shared" si="84"/>
        <v>0</v>
      </c>
      <c r="AQ175" s="643">
        <f t="shared" si="80"/>
        <v>0</v>
      </c>
      <c r="AR175" s="643">
        <f t="shared" si="81"/>
        <v>0</v>
      </c>
      <c r="AS175" s="638">
        <v>0.18</v>
      </c>
      <c r="AT175" s="643">
        <f t="shared" si="79"/>
        <v>0</v>
      </c>
      <c r="AU175" s="664"/>
      <c r="AV175" s="664"/>
      <c r="AX175" s="665"/>
      <c r="AY175" s="665"/>
      <c r="AZ175" s="666"/>
    </row>
    <row r="176" spans="1:52" ht="60" customHeight="1">
      <c r="A176" s="743">
        <v>10</v>
      </c>
      <c r="B176" s="746" t="s">
        <v>262</v>
      </c>
      <c r="C176" s="746" t="s">
        <v>851</v>
      </c>
      <c r="D176" s="568" t="s">
        <v>273</v>
      </c>
      <c r="E176" s="578">
        <f t="shared" si="82"/>
        <v>0.6278999999999999</v>
      </c>
      <c r="F176" s="578"/>
      <c r="G176" s="569">
        <f aca="true" t="shared" si="90" ref="G176:Q176">SUM(G177:G179)</f>
        <v>0.6</v>
      </c>
      <c r="H176" s="586"/>
      <c r="I176" s="578">
        <f t="shared" si="90"/>
        <v>0.0237</v>
      </c>
      <c r="J176" s="578"/>
      <c r="K176" s="586">
        <f t="shared" si="90"/>
        <v>0.004200000000000002</v>
      </c>
      <c r="L176" s="586"/>
      <c r="M176" s="569">
        <f t="shared" si="90"/>
        <v>0</v>
      </c>
      <c r="N176" s="586"/>
      <c r="O176" s="569">
        <f t="shared" si="90"/>
        <v>0</v>
      </c>
      <c r="P176" s="569"/>
      <c r="Q176" s="569">
        <f t="shared" si="90"/>
        <v>0</v>
      </c>
      <c r="R176" s="581"/>
      <c r="S176" s="743"/>
      <c r="T176" s="746" t="s">
        <v>298</v>
      </c>
      <c r="U176" s="493">
        <f>SUM(U177:U179)</f>
        <v>0</v>
      </c>
      <c r="V176" s="493"/>
      <c r="W176" s="577">
        <f>SUM(W177:W179)</f>
        <v>0.06781319999999998</v>
      </c>
      <c r="X176" s="577"/>
      <c r="Y176" s="577">
        <f>SUM(Y177:Y179)</f>
        <v>0.06781319999999998</v>
      </c>
      <c r="Z176" s="577"/>
      <c r="AA176" s="577">
        <f>SUM(AA177:AA179)</f>
        <v>0</v>
      </c>
      <c r="AB176" s="577"/>
      <c r="AC176" s="577">
        <f>SUM(AC177:AC179)</f>
        <v>0</v>
      </c>
      <c r="AD176" s="700"/>
      <c r="AF176" s="520"/>
      <c r="AH176" s="512">
        <v>11035</v>
      </c>
      <c r="AJ176" s="513">
        <v>106.23302983559877</v>
      </c>
      <c r="AK176" s="514">
        <v>105.1948604625895</v>
      </c>
      <c r="AL176" s="513">
        <v>104.86113485125321</v>
      </c>
      <c r="AM176" s="512">
        <v>12</v>
      </c>
      <c r="AN176" s="512">
        <v>1000000</v>
      </c>
      <c r="AO176" s="512">
        <v>0.12</v>
      </c>
      <c r="AP176" s="523">
        <f t="shared" si="84"/>
        <v>0</v>
      </c>
      <c r="AQ176" s="523">
        <f t="shared" si="80"/>
        <v>0</v>
      </c>
      <c r="AR176" s="523">
        <f t="shared" si="81"/>
        <v>0</v>
      </c>
      <c r="AS176" s="512">
        <v>0.18</v>
      </c>
      <c r="AT176" s="523">
        <f t="shared" si="79"/>
        <v>0.06781319999999998</v>
      </c>
      <c r="AU176" s="526"/>
      <c r="AV176" s="526"/>
      <c r="AX176" s="527"/>
      <c r="AY176" s="527"/>
      <c r="AZ176" s="528"/>
    </row>
    <row r="177" spans="1:52" ht="60" customHeight="1">
      <c r="A177" s="744"/>
      <c r="B177" s="764"/>
      <c r="C177" s="764"/>
      <c r="D177" s="568">
        <v>2013</v>
      </c>
      <c r="E177" s="578">
        <f t="shared" si="82"/>
        <v>0.6278999999999999</v>
      </c>
      <c r="F177" s="578"/>
      <c r="G177" s="575">
        <v>0.6</v>
      </c>
      <c r="H177" s="586"/>
      <c r="I177" s="578">
        <v>0.0237</v>
      </c>
      <c r="J177" s="578"/>
      <c r="K177" s="586">
        <f>0.0522-0.048</f>
        <v>0.004200000000000002</v>
      </c>
      <c r="L177" s="586"/>
      <c r="M177" s="569">
        <v>0</v>
      </c>
      <c r="N177" s="586"/>
      <c r="O177" s="569">
        <v>0</v>
      </c>
      <c r="P177" s="569"/>
      <c r="Q177" s="569">
        <v>0</v>
      </c>
      <c r="R177" s="582"/>
      <c r="S177" s="744"/>
      <c r="T177" s="764"/>
      <c r="U177" s="493">
        <f>AE177</f>
        <v>0</v>
      </c>
      <c r="V177" s="493"/>
      <c r="W177" s="577">
        <f aca="true" t="shared" si="91" ref="W177:W183">SUM(Y177:AC177)</f>
        <v>0.06781319999999998</v>
      </c>
      <c r="X177" s="577"/>
      <c r="Y177" s="577">
        <f>AT177</f>
        <v>0.06781319999999998</v>
      </c>
      <c r="Z177" s="577"/>
      <c r="AA177" s="577">
        <f>AR177</f>
        <v>0</v>
      </c>
      <c r="AB177" s="577"/>
      <c r="AC177" s="577">
        <f>AQ177</f>
        <v>0</v>
      </c>
      <c r="AD177" s="700"/>
      <c r="AE177" s="512">
        <f t="shared" si="76"/>
        <v>0</v>
      </c>
      <c r="AF177" s="542">
        <v>0</v>
      </c>
      <c r="AH177" s="512">
        <v>11035</v>
      </c>
      <c r="AJ177" s="513">
        <v>106.23302983559877</v>
      </c>
      <c r="AK177" s="514">
        <v>105.1948604625895</v>
      </c>
      <c r="AL177" s="513">
        <v>104.86113485125321</v>
      </c>
      <c r="AM177" s="512">
        <v>12</v>
      </c>
      <c r="AN177" s="512">
        <v>1000000</v>
      </c>
      <c r="AO177" s="512">
        <v>0.12</v>
      </c>
      <c r="AP177" s="523">
        <f t="shared" si="84"/>
        <v>0</v>
      </c>
      <c r="AQ177" s="523">
        <f t="shared" si="80"/>
        <v>0</v>
      </c>
      <c r="AR177" s="523">
        <f t="shared" si="81"/>
        <v>0</v>
      </c>
      <c r="AS177" s="512">
        <v>0.18</v>
      </c>
      <c r="AT177" s="523">
        <f t="shared" si="79"/>
        <v>0.06781319999999998</v>
      </c>
      <c r="AU177" s="526"/>
      <c r="AV177" s="526"/>
      <c r="AX177" s="527"/>
      <c r="AY177" s="527"/>
      <c r="AZ177" s="528"/>
    </row>
    <row r="178" spans="1:52" ht="60" customHeight="1">
      <c r="A178" s="744"/>
      <c r="B178" s="764"/>
      <c r="C178" s="764"/>
      <c r="D178" s="568">
        <v>2014</v>
      </c>
      <c r="E178" s="578">
        <v>0</v>
      </c>
      <c r="F178" s="578">
        <v>0.026</v>
      </c>
      <c r="G178" s="585">
        <v>0</v>
      </c>
      <c r="H178" s="586"/>
      <c r="I178" s="578">
        <v>0</v>
      </c>
      <c r="J178" s="578"/>
      <c r="K178" s="585">
        <v>0</v>
      </c>
      <c r="L178" s="586">
        <v>0.03</v>
      </c>
      <c r="M178" s="569">
        <v>0</v>
      </c>
      <c r="N178" s="586"/>
      <c r="O178" s="569">
        <v>0</v>
      </c>
      <c r="P178" s="569"/>
      <c r="Q178" s="569">
        <v>0</v>
      </c>
      <c r="R178" s="582"/>
      <c r="S178" s="744"/>
      <c r="T178" s="764"/>
      <c r="U178" s="493">
        <f>AE178</f>
        <v>0</v>
      </c>
      <c r="V178" s="493"/>
      <c r="W178" s="577">
        <f t="shared" si="91"/>
        <v>0</v>
      </c>
      <c r="X178" s="577"/>
      <c r="Y178" s="577">
        <f>AT178</f>
        <v>0</v>
      </c>
      <c r="Z178" s="577"/>
      <c r="AA178" s="577">
        <f>AR178</f>
        <v>0</v>
      </c>
      <c r="AB178" s="577"/>
      <c r="AC178" s="577">
        <f>AQ178</f>
        <v>0</v>
      </c>
      <c r="AD178" s="700"/>
      <c r="AE178" s="512">
        <f t="shared" si="76"/>
        <v>0</v>
      </c>
      <c r="AF178" s="542">
        <v>0</v>
      </c>
      <c r="AH178" s="512">
        <v>11035</v>
      </c>
      <c r="AJ178" s="513">
        <v>106.23302983559877</v>
      </c>
      <c r="AK178" s="514">
        <v>105.1948604625895</v>
      </c>
      <c r="AL178" s="513">
        <v>104.86113485125321</v>
      </c>
      <c r="AM178" s="512">
        <v>12</v>
      </c>
      <c r="AN178" s="512">
        <v>1000000</v>
      </c>
      <c r="AO178" s="512">
        <v>0.12</v>
      </c>
      <c r="AP178" s="523">
        <f t="shared" si="84"/>
        <v>0</v>
      </c>
      <c r="AQ178" s="523">
        <f t="shared" si="80"/>
        <v>0</v>
      </c>
      <c r="AR178" s="523">
        <f t="shared" si="81"/>
        <v>0</v>
      </c>
      <c r="AS178" s="512">
        <v>0.18</v>
      </c>
      <c r="AT178" s="523">
        <f t="shared" si="79"/>
        <v>0</v>
      </c>
      <c r="AU178" s="526"/>
      <c r="AV178" s="526"/>
      <c r="AX178" s="527"/>
      <c r="AY178" s="527"/>
      <c r="AZ178" s="528"/>
    </row>
    <row r="179" spans="1:52" s="644" customFormat="1" ht="60" customHeight="1">
      <c r="A179" s="745"/>
      <c r="B179" s="765"/>
      <c r="C179" s="765"/>
      <c r="D179" s="647">
        <v>2015</v>
      </c>
      <c r="E179" s="650">
        <v>0</v>
      </c>
      <c r="F179" s="650">
        <v>0.625</v>
      </c>
      <c r="G179" s="658">
        <v>0</v>
      </c>
      <c r="H179" s="667"/>
      <c r="I179" s="650">
        <v>0</v>
      </c>
      <c r="J179" s="650"/>
      <c r="K179" s="658">
        <v>0</v>
      </c>
      <c r="L179" s="667">
        <v>0.315</v>
      </c>
      <c r="M179" s="634">
        <v>0</v>
      </c>
      <c r="N179" s="667">
        <v>0.31</v>
      </c>
      <c r="O179" s="634">
        <v>0</v>
      </c>
      <c r="P179" s="634"/>
      <c r="Q179" s="634">
        <v>0</v>
      </c>
      <c r="R179" s="662"/>
      <c r="S179" s="745"/>
      <c r="T179" s="765"/>
      <c r="U179" s="637">
        <f>AE179</f>
        <v>0</v>
      </c>
      <c r="V179" s="637"/>
      <c r="W179" s="646">
        <f t="shared" si="91"/>
        <v>0</v>
      </c>
      <c r="X179" s="646"/>
      <c r="Y179" s="646">
        <f>AT179</f>
        <v>0</v>
      </c>
      <c r="Z179" s="646"/>
      <c r="AA179" s="646">
        <f>AR179</f>
        <v>0</v>
      </c>
      <c r="AB179" s="646"/>
      <c r="AC179" s="646">
        <f>AQ179</f>
        <v>0</v>
      </c>
      <c r="AD179" s="701"/>
      <c r="AE179" s="638">
        <f t="shared" si="76"/>
        <v>0</v>
      </c>
      <c r="AF179" s="663">
        <v>0</v>
      </c>
      <c r="AG179" s="638"/>
      <c r="AH179" s="638">
        <v>11035</v>
      </c>
      <c r="AI179" s="638"/>
      <c r="AJ179" s="641">
        <v>106.23302983559877</v>
      </c>
      <c r="AK179" s="642">
        <v>105.1948604625895</v>
      </c>
      <c r="AL179" s="641">
        <v>104.86113485125321</v>
      </c>
      <c r="AM179" s="638">
        <v>12</v>
      </c>
      <c r="AN179" s="638">
        <v>1000000</v>
      </c>
      <c r="AO179" s="638">
        <v>0.12</v>
      </c>
      <c r="AP179" s="643">
        <f t="shared" si="84"/>
        <v>0</v>
      </c>
      <c r="AQ179" s="643">
        <f t="shared" si="80"/>
        <v>0</v>
      </c>
      <c r="AR179" s="643">
        <f t="shared" si="81"/>
        <v>0</v>
      </c>
      <c r="AS179" s="638">
        <v>0.18</v>
      </c>
      <c r="AT179" s="643">
        <f t="shared" si="79"/>
        <v>0</v>
      </c>
      <c r="AU179" s="664"/>
      <c r="AV179" s="664"/>
      <c r="AX179" s="665"/>
      <c r="AY179" s="665"/>
      <c r="AZ179" s="666"/>
    </row>
    <row r="180" spans="1:52" ht="30.75" customHeight="1">
      <c r="A180" s="743">
        <v>11</v>
      </c>
      <c r="B180" s="746" t="s">
        <v>323</v>
      </c>
      <c r="C180" s="746" t="s">
        <v>514</v>
      </c>
      <c r="D180" s="568" t="s">
        <v>273</v>
      </c>
      <c r="E180" s="578">
        <f t="shared" si="82"/>
        <v>0.626</v>
      </c>
      <c r="F180" s="578"/>
      <c r="G180" s="585">
        <f aca="true" t="shared" si="92" ref="G180:Q180">G181+G183+G182</f>
        <v>0</v>
      </c>
      <c r="H180" s="586"/>
      <c r="I180" s="578">
        <f t="shared" si="92"/>
        <v>0</v>
      </c>
      <c r="J180" s="578"/>
      <c r="K180" s="585">
        <f t="shared" si="92"/>
        <v>0.626</v>
      </c>
      <c r="L180" s="586"/>
      <c r="M180" s="585">
        <f t="shared" si="92"/>
        <v>0</v>
      </c>
      <c r="N180" s="586"/>
      <c r="O180" s="585">
        <f t="shared" si="92"/>
        <v>0</v>
      </c>
      <c r="P180" s="585"/>
      <c r="Q180" s="585">
        <f t="shared" si="92"/>
        <v>0</v>
      </c>
      <c r="R180" s="587"/>
      <c r="S180" s="743"/>
      <c r="T180" s="746" t="s">
        <v>299</v>
      </c>
      <c r="U180" s="493">
        <f>SUM(U181:U183)</f>
        <v>0</v>
      </c>
      <c r="V180" s="493"/>
      <c r="W180" s="577">
        <f t="shared" si="91"/>
        <v>0.06760799999999999</v>
      </c>
      <c r="X180" s="577"/>
      <c r="Y180" s="577">
        <f>SUM(Y181:Y183)</f>
        <v>0.06760799999999999</v>
      </c>
      <c r="Z180" s="577"/>
      <c r="AA180" s="577">
        <f>SUM(AA181:AA183)</f>
        <v>0</v>
      </c>
      <c r="AB180" s="577"/>
      <c r="AC180" s="577">
        <f>SUM(AC181:AC183)</f>
        <v>0</v>
      </c>
      <c r="AD180" s="700"/>
      <c r="AF180" s="520"/>
      <c r="AH180" s="512">
        <v>11035</v>
      </c>
      <c r="AJ180" s="513">
        <v>106.23302983559877</v>
      </c>
      <c r="AK180" s="514">
        <v>105.1948604625895</v>
      </c>
      <c r="AL180" s="513">
        <v>104.86113485125321</v>
      </c>
      <c r="AM180" s="512">
        <v>12</v>
      </c>
      <c r="AN180" s="512">
        <v>1000000</v>
      </c>
      <c r="AO180" s="512">
        <v>0.12</v>
      </c>
      <c r="AP180" s="523">
        <f t="shared" si="84"/>
        <v>0</v>
      </c>
      <c r="AQ180" s="523">
        <f t="shared" si="80"/>
        <v>0</v>
      </c>
      <c r="AR180" s="523">
        <f t="shared" si="81"/>
        <v>0</v>
      </c>
      <c r="AS180" s="512">
        <v>0.18</v>
      </c>
      <c r="AT180" s="523">
        <f t="shared" si="79"/>
        <v>0.067608</v>
      </c>
      <c r="AU180" s="526"/>
      <c r="AV180" s="526"/>
      <c r="AX180" s="527"/>
      <c r="AY180" s="527"/>
      <c r="AZ180" s="528"/>
    </row>
    <row r="181" spans="1:52" ht="30.75" customHeight="1">
      <c r="A181" s="744"/>
      <c r="B181" s="747"/>
      <c r="C181" s="747"/>
      <c r="D181" s="568">
        <v>2013</v>
      </c>
      <c r="E181" s="578">
        <f t="shared" si="82"/>
        <v>0.026</v>
      </c>
      <c r="F181" s="578"/>
      <c r="G181" s="585">
        <v>0</v>
      </c>
      <c r="H181" s="586"/>
      <c r="I181" s="578">
        <v>0</v>
      </c>
      <c r="J181" s="578"/>
      <c r="K181" s="585">
        <v>0.026</v>
      </c>
      <c r="L181" s="586"/>
      <c r="M181" s="569">
        <v>0</v>
      </c>
      <c r="N181" s="586"/>
      <c r="O181" s="569">
        <v>0</v>
      </c>
      <c r="P181" s="569"/>
      <c r="Q181" s="569">
        <v>0</v>
      </c>
      <c r="R181" s="582"/>
      <c r="S181" s="744"/>
      <c r="T181" s="747"/>
      <c r="U181" s="493">
        <f>AE181</f>
        <v>0</v>
      </c>
      <c r="V181" s="493"/>
      <c r="W181" s="577">
        <f t="shared" si="91"/>
        <v>0.0028079999999999997</v>
      </c>
      <c r="X181" s="577"/>
      <c r="Y181" s="577">
        <f>AT181</f>
        <v>0.0028079999999999997</v>
      </c>
      <c r="Z181" s="577"/>
      <c r="AA181" s="577">
        <f>AR181</f>
        <v>0</v>
      </c>
      <c r="AB181" s="577"/>
      <c r="AC181" s="577">
        <f>AQ181</f>
        <v>0</v>
      </c>
      <c r="AD181" s="700"/>
      <c r="AE181" s="512">
        <f t="shared" si="76"/>
        <v>0</v>
      </c>
      <c r="AF181" s="542">
        <v>0</v>
      </c>
      <c r="AH181" s="512">
        <v>11035</v>
      </c>
      <c r="AJ181" s="513">
        <v>106.23302983559877</v>
      </c>
      <c r="AK181" s="514">
        <v>105.1948604625895</v>
      </c>
      <c r="AL181" s="513">
        <v>104.86113485125321</v>
      </c>
      <c r="AM181" s="512">
        <v>12</v>
      </c>
      <c r="AN181" s="512">
        <v>1000000</v>
      </c>
      <c r="AO181" s="512">
        <v>0.12</v>
      </c>
      <c r="AP181" s="523">
        <f t="shared" si="84"/>
        <v>0</v>
      </c>
      <c r="AQ181" s="523">
        <f t="shared" si="80"/>
        <v>0</v>
      </c>
      <c r="AR181" s="523">
        <f t="shared" si="81"/>
        <v>0</v>
      </c>
      <c r="AS181" s="512">
        <v>0.18</v>
      </c>
      <c r="AT181" s="523">
        <f t="shared" si="79"/>
        <v>0.0028079999999999997</v>
      </c>
      <c r="AU181" s="526"/>
      <c r="AV181" s="526"/>
      <c r="AX181" s="527"/>
      <c r="AY181" s="527"/>
      <c r="AZ181" s="528"/>
    </row>
    <row r="182" spans="1:52" ht="30.75" customHeight="1">
      <c r="A182" s="744"/>
      <c r="B182" s="747"/>
      <c r="C182" s="747"/>
      <c r="D182" s="568">
        <v>2014</v>
      </c>
      <c r="E182" s="578">
        <f t="shared" si="82"/>
        <v>0.4</v>
      </c>
      <c r="F182" s="578"/>
      <c r="G182" s="585">
        <v>0</v>
      </c>
      <c r="H182" s="586"/>
      <c r="I182" s="578">
        <v>0</v>
      </c>
      <c r="J182" s="578"/>
      <c r="K182" s="585">
        <v>0.4</v>
      </c>
      <c r="L182" s="586"/>
      <c r="M182" s="569">
        <v>0</v>
      </c>
      <c r="N182" s="586"/>
      <c r="O182" s="569">
        <v>0</v>
      </c>
      <c r="P182" s="569"/>
      <c r="Q182" s="569">
        <v>0</v>
      </c>
      <c r="R182" s="582"/>
      <c r="S182" s="744"/>
      <c r="T182" s="747"/>
      <c r="U182" s="493">
        <f>AE182</f>
        <v>0</v>
      </c>
      <c r="V182" s="493"/>
      <c r="W182" s="577">
        <f t="shared" si="91"/>
        <v>0.043199999999999995</v>
      </c>
      <c r="X182" s="577"/>
      <c r="Y182" s="577">
        <f>AT182</f>
        <v>0.043199999999999995</v>
      </c>
      <c r="Z182" s="577"/>
      <c r="AA182" s="577">
        <f>AR182</f>
        <v>0</v>
      </c>
      <c r="AB182" s="577"/>
      <c r="AC182" s="577">
        <f>AQ182</f>
        <v>0</v>
      </c>
      <c r="AD182" s="700"/>
      <c r="AE182" s="512">
        <f t="shared" si="76"/>
        <v>0</v>
      </c>
      <c r="AF182" s="542">
        <v>0</v>
      </c>
      <c r="AH182" s="512">
        <v>11035</v>
      </c>
      <c r="AJ182" s="513">
        <v>106.23302983559877</v>
      </c>
      <c r="AK182" s="514">
        <v>105.1948604625895</v>
      </c>
      <c r="AL182" s="513">
        <v>104.86113485125321</v>
      </c>
      <c r="AM182" s="512">
        <v>12</v>
      </c>
      <c r="AN182" s="512">
        <v>1000000</v>
      </c>
      <c r="AO182" s="512">
        <v>0.12</v>
      </c>
      <c r="AP182" s="523">
        <f t="shared" si="84"/>
        <v>0</v>
      </c>
      <c r="AQ182" s="523">
        <f t="shared" si="80"/>
        <v>0</v>
      </c>
      <c r="AR182" s="523">
        <f t="shared" si="81"/>
        <v>0</v>
      </c>
      <c r="AS182" s="512">
        <v>0.18</v>
      </c>
      <c r="AT182" s="523">
        <f t="shared" si="79"/>
        <v>0.043199999999999995</v>
      </c>
      <c r="AU182" s="526"/>
      <c r="AV182" s="526"/>
      <c r="AX182" s="527"/>
      <c r="AY182" s="527"/>
      <c r="AZ182" s="528"/>
    </row>
    <row r="183" spans="1:52" s="644" customFormat="1" ht="30.75" customHeight="1">
      <c r="A183" s="745"/>
      <c r="B183" s="748"/>
      <c r="C183" s="748"/>
      <c r="D183" s="647">
        <v>2015</v>
      </c>
      <c r="E183" s="650">
        <v>0.2</v>
      </c>
      <c r="F183" s="650">
        <v>1.4</v>
      </c>
      <c r="G183" s="658">
        <v>0</v>
      </c>
      <c r="H183" s="667"/>
      <c r="I183" s="650">
        <v>0</v>
      </c>
      <c r="J183" s="650"/>
      <c r="K183" s="658">
        <v>0.2</v>
      </c>
      <c r="L183" s="667">
        <v>1.4</v>
      </c>
      <c r="M183" s="634">
        <v>0</v>
      </c>
      <c r="N183" s="667"/>
      <c r="O183" s="634">
        <v>0</v>
      </c>
      <c r="P183" s="634"/>
      <c r="Q183" s="634">
        <v>0</v>
      </c>
      <c r="R183" s="662"/>
      <c r="S183" s="745"/>
      <c r="T183" s="748"/>
      <c r="U183" s="637">
        <f>AE183</f>
        <v>0</v>
      </c>
      <c r="V183" s="637"/>
      <c r="W183" s="646">
        <f t="shared" si="91"/>
        <v>0.021599999999999998</v>
      </c>
      <c r="X183" s="646"/>
      <c r="Y183" s="646">
        <f>AT183</f>
        <v>0.021599999999999998</v>
      </c>
      <c r="Z183" s="646"/>
      <c r="AA183" s="646">
        <f>AR183</f>
        <v>0</v>
      </c>
      <c r="AB183" s="646"/>
      <c r="AC183" s="646">
        <f>AQ183</f>
        <v>0</v>
      </c>
      <c r="AD183" s="701"/>
      <c r="AE183" s="638">
        <f t="shared" si="76"/>
        <v>0</v>
      </c>
      <c r="AF183" s="663">
        <v>0</v>
      </c>
      <c r="AG183" s="638"/>
      <c r="AH183" s="638">
        <v>11035</v>
      </c>
      <c r="AI183" s="638"/>
      <c r="AJ183" s="641">
        <v>106.23302983559877</v>
      </c>
      <c r="AK183" s="642">
        <v>105.1948604625895</v>
      </c>
      <c r="AL183" s="641">
        <v>104.86113485125321</v>
      </c>
      <c r="AM183" s="638">
        <v>12</v>
      </c>
      <c r="AN183" s="638">
        <v>1000000</v>
      </c>
      <c r="AO183" s="638">
        <v>0.12</v>
      </c>
      <c r="AP183" s="643">
        <f t="shared" si="84"/>
        <v>0</v>
      </c>
      <c r="AQ183" s="643">
        <f t="shared" si="80"/>
        <v>0</v>
      </c>
      <c r="AR183" s="643">
        <f t="shared" si="81"/>
        <v>0</v>
      </c>
      <c r="AS183" s="638">
        <v>0.18</v>
      </c>
      <c r="AT183" s="643">
        <f t="shared" si="79"/>
        <v>0.021599999999999998</v>
      </c>
      <c r="AU183" s="664"/>
      <c r="AV183" s="664"/>
      <c r="AX183" s="665"/>
      <c r="AY183" s="665"/>
      <c r="AZ183" s="666"/>
    </row>
    <row r="184" spans="1:52" s="553" customFormat="1" ht="18" customHeight="1">
      <c r="A184" s="801" t="s">
        <v>623</v>
      </c>
      <c r="B184" s="801"/>
      <c r="C184" s="801"/>
      <c r="D184" s="801"/>
      <c r="E184" s="801"/>
      <c r="F184" s="801"/>
      <c r="G184" s="801"/>
      <c r="H184" s="801"/>
      <c r="I184" s="801"/>
      <c r="J184" s="801"/>
      <c r="K184" s="801"/>
      <c r="L184" s="801"/>
      <c r="M184" s="801"/>
      <c r="N184" s="801"/>
      <c r="O184" s="801"/>
      <c r="P184" s="801"/>
      <c r="Q184" s="801"/>
      <c r="R184" s="801"/>
      <c r="S184" s="801"/>
      <c r="T184" s="801"/>
      <c r="U184" s="801"/>
      <c r="V184" s="801"/>
      <c r="W184" s="801"/>
      <c r="X184" s="801"/>
      <c r="Y184" s="801"/>
      <c r="Z184" s="801"/>
      <c r="AA184" s="801"/>
      <c r="AB184" s="801"/>
      <c r="AC184" s="801"/>
      <c r="AD184" s="696"/>
      <c r="AE184" s="554"/>
      <c r="AF184" s="554"/>
      <c r="AG184" s="554"/>
      <c r="AH184" s="554"/>
      <c r="AI184" s="554"/>
      <c r="AJ184" s="555">
        <v>106.23302983559877</v>
      </c>
      <c r="AK184" s="556">
        <v>105.1948604625895</v>
      </c>
      <c r="AL184" s="555">
        <v>104.86113485125321</v>
      </c>
      <c r="AM184" s="554">
        <v>12</v>
      </c>
      <c r="AN184" s="554">
        <v>1000000</v>
      </c>
      <c r="AO184" s="554">
        <v>0.12</v>
      </c>
      <c r="AP184" s="563">
        <f t="shared" si="84"/>
        <v>0</v>
      </c>
      <c r="AQ184" s="563">
        <f t="shared" si="80"/>
        <v>0</v>
      </c>
      <c r="AR184" s="563">
        <f t="shared" si="81"/>
        <v>0</v>
      </c>
      <c r="AS184" s="554">
        <v>0.18</v>
      </c>
      <c r="AT184" s="563">
        <f t="shared" si="79"/>
        <v>0</v>
      </c>
      <c r="AU184" s="564"/>
      <c r="AV184" s="564"/>
      <c r="AX184" s="565"/>
      <c r="AY184" s="565"/>
      <c r="AZ184" s="566"/>
    </row>
    <row r="185" spans="1:52" s="553" customFormat="1" ht="17.25" customHeight="1">
      <c r="A185" s="772"/>
      <c r="B185" s="786" t="s">
        <v>334</v>
      </c>
      <c r="C185" s="786"/>
      <c r="D185" s="558" t="s">
        <v>273</v>
      </c>
      <c r="E185" s="594">
        <f>G185+I185+K185+M185+O185+Q185</f>
        <v>82</v>
      </c>
      <c r="F185" s="594">
        <f>SUM(F186:F188)</f>
        <v>154.4</v>
      </c>
      <c r="G185" s="620">
        <f aca="true" t="shared" si="93" ref="G185:Q185">SUM(G186:G188)</f>
        <v>0</v>
      </c>
      <c r="H185" s="685">
        <f>SUM(H186:H188)</f>
        <v>0</v>
      </c>
      <c r="I185" s="594">
        <f t="shared" si="93"/>
        <v>0</v>
      </c>
      <c r="J185" s="594">
        <f>SUM(J186:J188)</f>
        <v>0</v>
      </c>
      <c r="K185" s="620">
        <f t="shared" si="93"/>
        <v>0</v>
      </c>
      <c r="L185" s="620">
        <f>SUM(L186:L188)</f>
        <v>0</v>
      </c>
      <c r="M185" s="620">
        <f t="shared" si="93"/>
        <v>82</v>
      </c>
      <c r="N185" s="685">
        <f>SUM(N186:N188)</f>
        <v>154.4</v>
      </c>
      <c r="O185" s="620">
        <f t="shared" si="93"/>
        <v>0</v>
      </c>
      <c r="P185" s="620">
        <f>SUM(P186:P188)</f>
        <v>0</v>
      </c>
      <c r="Q185" s="620">
        <f t="shared" si="93"/>
        <v>0</v>
      </c>
      <c r="R185" s="620">
        <f>SUM(R186:R188)</f>
        <v>0</v>
      </c>
      <c r="S185" s="766" t="s">
        <v>349</v>
      </c>
      <c r="T185" s="766"/>
      <c r="U185" s="559">
        <f>SUM(U186:U188)</f>
        <v>86</v>
      </c>
      <c r="V185" s="620">
        <f>SUM(V186:V188)</f>
        <v>166</v>
      </c>
      <c r="W185" s="594">
        <f>Y185+AA185+AC185</f>
        <v>10.84037199707849</v>
      </c>
      <c r="X185" s="594">
        <f aca="true" t="shared" si="94" ref="X185:AD185">SUM(X186:X188)</f>
        <v>0.7300000000000001</v>
      </c>
      <c r="Y185" s="594">
        <f t="shared" si="94"/>
        <v>8.856</v>
      </c>
      <c r="Z185" s="594">
        <f t="shared" si="94"/>
        <v>0</v>
      </c>
      <c r="AA185" s="594">
        <f t="shared" si="94"/>
        <v>1.07572805961625</v>
      </c>
      <c r="AB185" s="594">
        <f t="shared" si="94"/>
        <v>0.416</v>
      </c>
      <c r="AC185" s="594">
        <f t="shared" si="94"/>
        <v>0.9086439374622409</v>
      </c>
      <c r="AD185" s="685">
        <f t="shared" si="94"/>
        <v>0.31400000000000006</v>
      </c>
      <c r="AE185" s="554"/>
      <c r="AF185" s="677">
        <f>SUM(AF186:AF188)</f>
        <v>86</v>
      </c>
      <c r="AG185" s="677">
        <f>SUM(AG186:AG188)</f>
        <v>0</v>
      </c>
      <c r="AH185" s="554"/>
      <c r="AI185" s="554"/>
      <c r="AJ185" s="555">
        <v>106.23302983559877</v>
      </c>
      <c r="AK185" s="556">
        <v>105.1948604625895</v>
      </c>
      <c r="AL185" s="555">
        <v>104.86113485125321</v>
      </c>
      <c r="AM185" s="554">
        <v>12</v>
      </c>
      <c r="AN185" s="554">
        <v>1000000</v>
      </c>
      <c r="AO185" s="554">
        <v>0.12</v>
      </c>
      <c r="AP185" s="563">
        <f t="shared" si="84"/>
        <v>0</v>
      </c>
      <c r="AQ185" s="563">
        <f t="shared" si="80"/>
        <v>0</v>
      </c>
      <c r="AR185" s="563">
        <f t="shared" si="81"/>
        <v>0</v>
      </c>
      <c r="AS185" s="554">
        <v>0.18</v>
      </c>
      <c r="AT185" s="563">
        <f t="shared" si="79"/>
        <v>8.855999999999998</v>
      </c>
      <c r="AU185" s="564"/>
      <c r="AV185" s="564"/>
      <c r="AX185" s="565"/>
      <c r="AY185" s="565"/>
      <c r="AZ185" s="566"/>
    </row>
    <row r="186" spans="1:52" s="553" customFormat="1" ht="17.25" customHeight="1">
      <c r="A186" s="772"/>
      <c r="B186" s="786"/>
      <c r="C186" s="786"/>
      <c r="D186" s="558">
        <v>2013</v>
      </c>
      <c r="E186" s="594">
        <f>G186+I186+K186+M186+O186+Q186</f>
        <v>13</v>
      </c>
      <c r="F186" s="594">
        <f>F190+F194+F198</f>
        <v>56</v>
      </c>
      <c r="G186" s="620">
        <f>G190+G194+G198</f>
        <v>0</v>
      </c>
      <c r="H186" s="685"/>
      <c r="I186" s="594">
        <f aca="true" t="shared" si="95" ref="G186:Q188">I190+I194+I198</f>
        <v>0</v>
      </c>
      <c r="J186" s="594"/>
      <c r="K186" s="620">
        <f t="shared" si="95"/>
        <v>0</v>
      </c>
      <c r="L186" s="620"/>
      <c r="M186" s="620">
        <f t="shared" si="95"/>
        <v>13</v>
      </c>
      <c r="N186" s="685">
        <f>N190+N194+N198</f>
        <v>56</v>
      </c>
      <c r="O186" s="620">
        <f t="shared" si="95"/>
        <v>0</v>
      </c>
      <c r="P186" s="620"/>
      <c r="Q186" s="620">
        <f t="shared" si="95"/>
        <v>0</v>
      </c>
      <c r="R186" s="620"/>
      <c r="S186" s="766"/>
      <c r="T186" s="766"/>
      <c r="U186" s="559">
        <f aca="true" t="shared" si="96" ref="U186:V188">U190+U194+U198</f>
        <v>10</v>
      </c>
      <c r="V186" s="559">
        <f t="shared" si="96"/>
        <v>58</v>
      </c>
      <c r="W186" s="594">
        <f>Y186+AA186+AC186</f>
        <v>1.6370429726182336</v>
      </c>
      <c r="X186" s="594">
        <f>X190+X194+X198</f>
        <v>0.32200000000000006</v>
      </c>
      <c r="Y186" s="594">
        <f>Y190+Y194+Y198</f>
        <v>1.404</v>
      </c>
      <c r="Z186" s="594">
        <f>Z190+Z194+Z198</f>
        <v>0</v>
      </c>
      <c r="AA186" s="594">
        <f aca="true" t="shared" si="97" ref="Y186:AC188">AA190+AA194+AA198</f>
        <v>0.12633259545634448</v>
      </c>
      <c r="AB186" s="594">
        <f>AB190+AB194+AB198</f>
        <v>0.175</v>
      </c>
      <c r="AC186" s="594">
        <f t="shared" si="97"/>
        <v>0.10671037716188919</v>
      </c>
      <c r="AD186" s="696">
        <f>AD190+AD194+AD198</f>
        <v>0.14700000000000002</v>
      </c>
      <c r="AE186" s="554"/>
      <c r="AF186" s="677">
        <f aca="true" t="shared" si="98" ref="AF186:AG188">AF190+AF194+AF198</f>
        <v>10</v>
      </c>
      <c r="AG186" s="677">
        <f t="shared" si="98"/>
        <v>0</v>
      </c>
      <c r="AH186" s="554"/>
      <c r="AI186" s="554"/>
      <c r="AJ186" s="555">
        <v>106.23302983559877</v>
      </c>
      <c r="AK186" s="556">
        <v>105.1948604625895</v>
      </c>
      <c r="AL186" s="555">
        <v>104.86113485125321</v>
      </c>
      <c r="AM186" s="554">
        <v>12</v>
      </c>
      <c r="AN186" s="554">
        <v>1000000</v>
      </c>
      <c r="AO186" s="554">
        <v>0.12</v>
      </c>
      <c r="AP186" s="563">
        <f t="shared" si="84"/>
        <v>0</v>
      </c>
      <c r="AQ186" s="563">
        <f t="shared" si="80"/>
        <v>0</v>
      </c>
      <c r="AR186" s="563">
        <f t="shared" si="81"/>
        <v>0</v>
      </c>
      <c r="AS186" s="554">
        <v>0.18</v>
      </c>
      <c r="AT186" s="563">
        <f t="shared" si="79"/>
        <v>1.404</v>
      </c>
      <c r="AU186" s="564"/>
      <c r="AV186" s="564"/>
      <c r="AX186" s="565"/>
      <c r="AY186" s="565"/>
      <c r="AZ186" s="566"/>
    </row>
    <row r="187" spans="1:52" s="553" customFormat="1" ht="17.25" customHeight="1">
      <c r="A187" s="772"/>
      <c r="B187" s="786"/>
      <c r="C187" s="786"/>
      <c r="D187" s="558">
        <v>2014</v>
      </c>
      <c r="E187" s="594">
        <f>M187</f>
        <v>37</v>
      </c>
      <c r="F187" s="594">
        <f>F191+F195+F199</f>
        <v>36.5</v>
      </c>
      <c r="G187" s="620">
        <f t="shared" si="95"/>
        <v>0</v>
      </c>
      <c r="H187" s="685"/>
      <c r="I187" s="594">
        <f t="shared" si="95"/>
        <v>0</v>
      </c>
      <c r="J187" s="594"/>
      <c r="K187" s="620">
        <f t="shared" si="95"/>
        <v>0</v>
      </c>
      <c r="L187" s="620"/>
      <c r="M187" s="620">
        <f t="shared" si="95"/>
        <v>37</v>
      </c>
      <c r="N187" s="685">
        <f>N191+N195+N199</f>
        <v>36.5</v>
      </c>
      <c r="O187" s="620">
        <f t="shared" si="95"/>
        <v>0</v>
      </c>
      <c r="P187" s="620"/>
      <c r="Q187" s="620">
        <f t="shared" si="95"/>
        <v>0</v>
      </c>
      <c r="R187" s="620"/>
      <c r="S187" s="766"/>
      <c r="T187" s="766"/>
      <c r="U187" s="559">
        <f t="shared" si="96"/>
        <v>42</v>
      </c>
      <c r="V187" s="620">
        <f t="shared" si="96"/>
        <v>48</v>
      </c>
      <c r="W187" s="594">
        <f>Y187+AA187+AC187</f>
        <v>4.965215287392832</v>
      </c>
      <c r="X187" s="594">
        <f>X191+X195+X199</f>
        <v>0.40800000000000003</v>
      </c>
      <c r="Y187" s="594">
        <f t="shared" si="97"/>
        <v>3.996</v>
      </c>
      <c r="Z187" s="594">
        <f>Z191+Z195+Z199</f>
        <v>0</v>
      </c>
      <c r="AA187" s="594">
        <f t="shared" si="97"/>
        <v>0.5254116072956538</v>
      </c>
      <c r="AB187" s="594">
        <f>AB191+AB195+AB199</f>
        <v>0.241</v>
      </c>
      <c r="AC187" s="594">
        <f t="shared" si="97"/>
        <v>0.44380368009717736</v>
      </c>
      <c r="AD187" s="685">
        <f>AD191+AD195+AD199</f>
        <v>0.167</v>
      </c>
      <c r="AE187" s="554"/>
      <c r="AF187" s="677">
        <f t="shared" si="98"/>
        <v>42</v>
      </c>
      <c r="AG187" s="677">
        <f t="shared" si="98"/>
        <v>0</v>
      </c>
      <c r="AH187" s="554"/>
      <c r="AI187" s="554"/>
      <c r="AJ187" s="555">
        <v>106.23302983559877</v>
      </c>
      <c r="AK187" s="556">
        <v>105.1948604625895</v>
      </c>
      <c r="AL187" s="555">
        <v>104.86113485125321</v>
      </c>
      <c r="AM187" s="554">
        <v>12</v>
      </c>
      <c r="AN187" s="554">
        <v>1000000</v>
      </c>
      <c r="AO187" s="554">
        <v>0.12</v>
      </c>
      <c r="AP187" s="563">
        <f t="shared" si="84"/>
        <v>0</v>
      </c>
      <c r="AQ187" s="563">
        <f t="shared" si="80"/>
        <v>0</v>
      </c>
      <c r="AR187" s="563">
        <f t="shared" si="81"/>
        <v>0</v>
      </c>
      <c r="AS187" s="554">
        <v>0.18</v>
      </c>
      <c r="AT187" s="563">
        <f t="shared" si="79"/>
        <v>3.9959999999999996</v>
      </c>
      <c r="AU187" s="564"/>
      <c r="AV187" s="564"/>
      <c r="AX187" s="565"/>
      <c r="AY187" s="565"/>
      <c r="AZ187" s="566"/>
    </row>
    <row r="188" spans="1:46" s="553" customFormat="1" ht="17.25" customHeight="1">
      <c r="A188" s="772"/>
      <c r="B188" s="786"/>
      <c r="C188" s="786"/>
      <c r="D188" s="678">
        <v>2015</v>
      </c>
      <c r="E188" s="594">
        <v>32</v>
      </c>
      <c r="F188" s="594">
        <f>F192+F196+F200</f>
        <v>61.900000000000006</v>
      </c>
      <c r="G188" s="620">
        <f t="shared" si="95"/>
        <v>0</v>
      </c>
      <c r="H188" s="685">
        <f>H192+H196+H200</f>
        <v>0</v>
      </c>
      <c r="I188" s="594">
        <f t="shared" si="95"/>
        <v>0</v>
      </c>
      <c r="J188" s="594">
        <f>J192+J196+J200</f>
        <v>0</v>
      </c>
      <c r="K188" s="620">
        <f t="shared" si="95"/>
        <v>0</v>
      </c>
      <c r="L188" s="620">
        <f>L192+L196+L200</f>
        <v>0</v>
      </c>
      <c r="M188" s="620">
        <f t="shared" si="95"/>
        <v>32</v>
      </c>
      <c r="N188" s="685">
        <f>N192+N196+N200</f>
        <v>61.900000000000006</v>
      </c>
      <c r="O188" s="620">
        <f t="shared" si="95"/>
        <v>0</v>
      </c>
      <c r="P188" s="620">
        <f>P192+P196+P200</f>
        <v>0</v>
      </c>
      <c r="Q188" s="620">
        <f>Q192+Q196+Q200</f>
        <v>0</v>
      </c>
      <c r="R188" s="620">
        <f>R192+R196+R200</f>
        <v>0</v>
      </c>
      <c r="S188" s="766"/>
      <c r="T188" s="766"/>
      <c r="U188" s="559">
        <f t="shared" si="96"/>
        <v>34</v>
      </c>
      <c r="V188" s="620">
        <f t="shared" si="96"/>
        <v>60</v>
      </c>
      <c r="W188" s="594">
        <f>SUM(Y188:AC188)</f>
        <v>4.238113737067426</v>
      </c>
      <c r="X188" s="594">
        <f>X192+X196+X200</f>
        <v>0</v>
      </c>
      <c r="Y188" s="594">
        <f t="shared" si="97"/>
        <v>3.456</v>
      </c>
      <c r="Z188" s="594">
        <f>Z192+Z196+Z200</f>
        <v>0</v>
      </c>
      <c r="AA188" s="594">
        <f t="shared" si="97"/>
        <v>0.4239838568642517</v>
      </c>
      <c r="AB188" s="594">
        <f>AB192+AB196+AB200</f>
        <v>0</v>
      </c>
      <c r="AC188" s="594">
        <f>AC192+AC196+AC200</f>
        <v>0.3581298802031744</v>
      </c>
      <c r="AD188" s="685">
        <f>AD192+AD196+AD200</f>
        <v>0</v>
      </c>
      <c r="AE188" s="554"/>
      <c r="AF188" s="677">
        <f t="shared" si="98"/>
        <v>34</v>
      </c>
      <c r="AG188" s="677">
        <f t="shared" si="98"/>
        <v>0</v>
      </c>
      <c r="AH188" s="554"/>
      <c r="AI188" s="554"/>
      <c r="AJ188" s="555">
        <v>106.23302983559877</v>
      </c>
      <c r="AK188" s="556">
        <v>105.1948604625895</v>
      </c>
      <c r="AL188" s="555">
        <v>104.86113485125321</v>
      </c>
      <c r="AM188" s="554">
        <v>12</v>
      </c>
      <c r="AN188" s="554">
        <v>1000000</v>
      </c>
      <c r="AO188" s="554">
        <v>0.12</v>
      </c>
      <c r="AP188" s="563">
        <f t="shared" si="84"/>
        <v>0</v>
      </c>
      <c r="AQ188" s="563">
        <f t="shared" si="80"/>
        <v>0</v>
      </c>
      <c r="AR188" s="563">
        <f t="shared" si="81"/>
        <v>0</v>
      </c>
      <c r="AS188" s="554">
        <v>0.18</v>
      </c>
      <c r="AT188" s="563">
        <f t="shared" si="79"/>
        <v>3.456</v>
      </c>
    </row>
    <row r="189" spans="1:46" ht="17.25" customHeight="1">
      <c r="A189" s="763">
        <v>1</v>
      </c>
      <c r="B189" s="742" t="s">
        <v>264</v>
      </c>
      <c r="C189" s="742" t="s">
        <v>400</v>
      </c>
      <c r="D189" s="489" t="s">
        <v>273</v>
      </c>
      <c r="E189" s="578">
        <f>SUM(G189:Q189)</f>
        <v>56</v>
      </c>
      <c r="F189" s="578"/>
      <c r="G189" s="569">
        <f aca="true" t="shared" si="99" ref="G189:Q189">SUM(G190:G192)</f>
        <v>0</v>
      </c>
      <c r="H189" s="586"/>
      <c r="I189" s="578">
        <f t="shared" si="99"/>
        <v>0</v>
      </c>
      <c r="J189" s="578"/>
      <c r="K189" s="569">
        <f t="shared" si="99"/>
        <v>0</v>
      </c>
      <c r="L189" s="569"/>
      <c r="M189" s="569">
        <f t="shared" si="99"/>
        <v>56</v>
      </c>
      <c r="N189" s="586"/>
      <c r="O189" s="569">
        <f t="shared" si="99"/>
        <v>0</v>
      </c>
      <c r="P189" s="569"/>
      <c r="Q189" s="569">
        <f t="shared" si="99"/>
        <v>0</v>
      </c>
      <c r="R189" s="569"/>
      <c r="S189" s="767" t="s">
        <v>267</v>
      </c>
      <c r="T189" s="767" t="s">
        <v>120</v>
      </c>
      <c r="U189" s="493">
        <f>SUM(U190:U192)</f>
        <v>49</v>
      </c>
      <c r="V189" s="493"/>
      <c r="W189" s="577">
        <f>SUM(W190:W192)</f>
        <v>7.282637620802359</v>
      </c>
      <c r="X189" s="577"/>
      <c r="Y189" s="577">
        <f>SUM(Y190:Y192)</f>
        <v>6.048</v>
      </c>
      <c r="Z189" s="577"/>
      <c r="AA189" s="577">
        <f>SUM(AA190:AA192)</f>
        <v>0.6134607542369589</v>
      </c>
      <c r="AB189" s="577"/>
      <c r="AC189" s="577">
        <f>SUM(AC190:AC192)</f>
        <v>0.5181768665654003</v>
      </c>
      <c r="AD189" s="700"/>
      <c r="AF189" s="520"/>
      <c r="AH189" s="512">
        <v>15234</v>
      </c>
      <c r="AJ189" s="513">
        <v>106.23302983559877</v>
      </c>
      <c r="AK189" s="514">
        <v>105.1948604625895</v>
      </c>
      <c r="AL189" s="513">
        <v>104.86113485125321</v>
      </c>
      <c r="AM189" s="512">
        <v>12</v>
      </c>
      <c r="AN189" s="512">
        <v>1000000</v>
      </c>
      <c r="AO189" s="512">
        <v>0.12</v>
      </c>
      <c r="AP189" s="523">
        <f t="shared" si="84"/>
        <v>0</v>
      </c>
      <c r="AQ189" s="523">
        <f t="shared" si="80"/>
        <v>0</v>
      </c>
      <c r="AR189" s="523">
        <f t="shared" si="81"/>
        <v>0</v>
      </c>
      <c r="AS189" s="512">
        <v>0.18</v>
      </c>
      <c r="AT189" s="523">
        <f t="shared" si="79"/>
        <v>6.048</v>
      </c>
    </row>
    <row r="190" spans="1:46" ht="17.25" customHeight="1">
      <c r="A190" s="763"/>
      <c r="B190" s="742"/>
      <c r="C190" s="742"/>
      <c r="D190" s="491">
        <v>2013</v>
      </c>
      <c r="E190" s="578">
        <f>G190+I190+K190+M190+O190+Q190</f>
        <v>13</v>
      </c>
      <c r="F190" s="578">
        <v>45.9</v>
      </c>
      <c r="G190" s="585">
        <v>0</v>
      </c>
      <c r="H190" s="586">
        <v>0</v>
      </c>
      <c r="I190" s="578">
        <v>0</v>
      </c>
      <c r="J190" s="578">
        <v>0</v>
      </c>
      <c r="K190" s="585">
        <v>0</v>
      </c>
      <c r="L190" s="585">
        <v>0</v>
      </c>
      <c r="M190" s="585">
        <v>13</v>
      </c>
      <c r="N190" s="586">
        <v>45.9</v>
      </c>
      <c r="O190" s="585">
        <v>0</v>
      </c>
      <c r="P190" s="585">
        <v>0</v>
      </c>
      <c r="Q190" s="585">
        <v>0</v>
      </c>
      <c r="R190" s="585"/>
      <c r="S190" s="767"/>
      <c r="T190" s="767"/>
      <c r="U190" s="493">
        <f>AE190</f>
        <v>10</v>
      </c>
      <c r="V190" s="493">
        <v>41</v>
      </c>
      <c r="W190" s="577">
        <f>SUM(Y190:AC190)</f>
        <v>1.7400429726182336</v>
      </c>
      <c r="X190" s="577">
        <f>Z190+AB190+AD190</f>
        <v>0.19</v>
      </c>
      <c r="Y190" s="577">
        <f>AT190</f>
        <v>1.404</v>
      </c>
      <c r="Z190" s="577">
        <v>0</v>
      </c>
      <c r="AA190" s="577">
        <f>AR190</f>
        <v>0.12633259545634448</v>
      </c>
      <c r="AB190" s="577">
        <v>0.103</v>
      </c>
      <c r="AC190" s="577">
        <f>AQ190</f>
        <v>0.10671037716188919</v>
      </c>
      <c r="AD190" s="700">
        <v>0.087</v>
      </c>
      <c r="AE190" s="512">
        <f t="shared" si="76"/>
        <v>10</v>
      </c>
      <c r="AF190" s="540">
        <v>10</v>
      </c>
      <c r="AH190" s="512">
        <v>15234</v>
      </c>
      <c r="AJ190" s="513">
        <v>106.23302983559877</v>
      </c>
      <c r="AK190" s="514">
        <v>105.1948604625895</v>
      </c>
      <c r="AL190" s="513">
        <v>104.86113485125321</v>
      </c>
      <c r="AM190" s="512">
        <v>12</v>
      </c>
      <c r="AN190" s="512">
        <v>1000000</v>
      </c>
      <c r="AO190" s="512">
        <v>0.12</v>
      </c>
      <c r="AP190" s="523">
        <f t="shared" si="84"/>
        <v>0.23304297261823367</v>
      </c>
      <c r="AQ190" s="523">
        <f t="shared" si="80"/>
        <v>0.10671037716188919</v>
      </c>
      <c r="AR190" s="523">
        <f t="shared" si="81"/>
        <v>0.12633259545634448</v>
      </c>
      <c r="AS190" s="512">
        <v>0.18</v>
      </c>
      <c r="AT190" s="523">
        <f t="shared" si="79"/>
        <v>1.404</v>
      </c>
    </row>
    <row r="191" spans="1:46" ht="17.25" customHeight="1">
      <c r="A191" s="763"/>
      <c r="B191" s="742"/>
      <c r="C191" s="742"/>
      <c r="D191" s="491">
        <v>2014</v>
      </c>
      <c r="E191" s="578">
        <v>22</v>
      </c>
      <c r="F191" s="578">
        <v>25.3</v>
      </c>
      <c r="G191" s="585">
        <v>0</v>
      </c>
      <c r="H191" s="586"/>
      <c r="I191" s="578">
        <v>0</v>
      </c>
      <c r="J191" s="578"/>
      <c r="K191" s="585">
        <v>0</v>
      </c>
      <c r="L191" s="585"/>
      <c r="M191" s="585">
        <v>22</v>
      </c>
      <c r="N191" s="586">
        <v>25.3</v>
      </c>
      <c r="O191" s="585">
        <v>0</v>
      </c>
      <c r="P191" s="585"/>
      <c r="Q191" s="585">
        <v>0</v>
      </c>
      <c r="R191" s="585"/>
      <c r="S191" s="767"/>
      <c r="T191" s="767"/>
      <c r="U191" s="493">
        <f>AE191</f>
        <v>20</v>
      </c>
      <c r="V191" s="493">
        <v>14</v>
      </c>
      <c r="W191" s="577">
        <f>Y191+AA191+AC191</f>
        <v>2.8375310892346812</v>
      </c>
      <c r="X191" s="577">
        <f>Z191+AB191+AD191</f>
        <v>0.121</v>
      </c>
      <c r="Y191" s="577">
        <f>AT191</f>
        <v>2.376</v>
      </c>
      <c r="Z191" s="577"/>
      <c r="AA191" s="577">
        <f>AR191</f>
        <v>0.25019600347412085</v>
      </c>
      <c r="AB191" s="577">
        <v>0.071</v>
      </c>
      <c r="AC191" s="577">
        <f>AQ191</f>
        <v>0.21133508576056065</v>
      </c>
      <c r="AD191" s="700">
        <v>0.05</v>
      </c>
      <c r="AE191" s="512">
        <f t="shared" si="76"/>
        <v>20</v>
      </c>
      <c r="AF191" s="540">
        <v>20</v>
      </c>
      <c r="AH191" s="512">
        <v>15234</v>
      </c>
      <c r="AJ191" s="513">
        <v>106.23302983559877</v>
      </c>
      <c r="AK191" s="514">
        <v>105.1948604625895</v>
      </c>
      <c r="AL191" s="513">
        <v>104.86113485125321</v>
      </c>
      <c r="AM191" s="512">
        <v>12</v>
      </c>
      <c r="AN191" s="512">
        <v>1000000</v>
      </c>
      <c r="AO191" s="512">
        <v>0.12</v>
      </c>
      <c r="AP191" s="523">
        <f>AE191*AH191*AK191%*AM191/AN191*AO191</f>
        <v>0.4615310892346815</v>
      </c>
      <c r="AQ191" s="523">
        <f t="shared" si="80"/>
        <v>0.21133508576056065</v>
      </c>
      <c r="AR191" s="523">
        <f t="shared" si="81"/>
        <v>0.25019600347412085</v>
      </c>
      <c r="AS191" s="512">
        <v>0.18</v>
      </c>
      <c r="AT191" s="523">
        <f t="shared" si="79"/>
        <v>2.376</v>
      </c>
    </row>
    <row r="192" spans="1:46" s="644" customFormat="1" ht="17.25" customHeight="1">
      <c r="A192" s="763"/>
      <c r="B192" s="742"/>
      <c r="C192" s="742"/>
      <c r="D192" s="647">
        <v>2015</v>
      </c>
      <c r="E192" s="650">
        <v>21</v>
      </c>
      <c r="F192" s="650">
        <v>32.2</v>
      </c>
      <c r="G192" s="658">
        <v>0</v>
      </c>
      <c r="H192" s="667"/>
      <c r="I192" s="650">
        <v>0</v>
      </c>
      <c r="J192" s="650"/>
      <c r="K192" s="658">
        <v>0</v>
      </c>
      <c r="L192" s="658"/>
      <c r="M192" s="658">
        <v>21</v>
      </c>
      <c r="N192" s="667">
        <v>32.2</v>
      </c>
      <c r="O192" s="658">
        <v>0</v>
      </c>
      <c r="P192" s="658"/>
      <c r="Q192" s="658">
        <v>0</v>
      </c>
      <c r="R192" s="658"/>
      <c r="S192" s="767"/>
      <c r="T192" s="767"/>
      <c r="U192" s="637">
        <f>AE192</f>
        <v>19</v>
      </c>
      <c r="V192" s="637">
        <v>26</v>
      </c>
      <c r="W192" s="646">
        <f>SUM(Y192:AC192)</f>
        <v>2.705063558949444</v>
      </c>
      <c r="X192" s="646"/>
      <c r="Y192" s="646">
        <f>AT192</f>
        <v>2.268</v>
      </c>
      <c r="Z192" s="646"/>
      <c r="AA192" s="646">
        <f>AR192</f>
        <v>0.2369321553064936</v>
      </c>
      <c r="AB192" s="646"/>
      <c r="AC192" s="646">
        <f>AQ192</f>
        <v>0.20013140364295043</v>
      </c>
      <c r="AD192" s="701"/>
      <c r="AE192" s="638">
        <f t="shared" si="76"/>
        <v>19</v>
      </c>
      <c r="AF192" s="659">
        <v>19</v>
      </c>
      <c r="AG192" s="638"/>
      <c r="AH192" s="638">
        <v>15234</v>
      </c>
      <c r="AI192" s="638"/>
      <c r="AJ192" s="641">
        <v>106.23302983559877</v>
      </c>
      <c r="AK192" s="642">
        <v>105.1948604625895</v>
      </c>
      <c r="AL192" s="641">
        <v>104.86113485125321</v>
      </c>
      <c r="AM192" s="638">
        <v>12</v>
      </c>
      <c r="AN192" s="638">
        <v>1000000</v>
      </c>
      <c r="AO192" s="638">
        <v>0.12</v>
      </c>
      <c r="AP192" s="643">
        <f>AE192*AH192*AL192%*AM192/AN192*AO192</f>
        <v>0.43706355894944404</v>
      </c>
      <c r="AQ192" s="643">
        <f t="shared" si="80"/>
        <v>0.20013140364295043</v>
      </c>
      <c r="AR192" s="643">
        <f t="shared" si="81"/>
        <v>0.2369321553064936</v>
      </c>
      <c r="AS192" s="638">
        <v>0.18</v>
      </c>
      <c r="AT192" s="643">
        <f t="shared" si="79"/>
        <v>2.268</v>
      </c>
    </row>
    <row r="193" spans="1:46" ht="23.25" customHeight="1">
      <c r="A193" s="763">
        <v>2</v>
      </c>
      <c r="B193" s="742" t="s">
        <v>265</v>
      </c>
      <c r="C193" s="742" t="s">
        <v>400</v>
      </c>
      <c r="D193" s="489" t="s">
        <v>273</v>
      </c>
      <c r="E193" s="578">
        <f>SUM(G193:Q193)</f>
        <v>24</v>
      </c>
      <c r="F193" s="578"/>
      <c r="G193" s="569">
        <f aca="true" t="shared" si="100" ref="G193:Q193">SUM(G194:G196)</f>
        <v>0</v>
      </c>
      <c r="H193" s="586"/>
      <c r="I193" s="578">
        <f t="shared" si="100"/>
        <v>0</v>
      </c>
      <c r="J193" s="578"/>
      <c r="K193" s="569">
        <f t="shared" si="100"/>
        <v>0</v>
      </c>
      <c r="L193" s="569"/>
      <c r="M193" s="569">
        <f t="shared" si="100"/>
        <v>24</v>
      </c>
      <c r="N193" s="586"/>
      <c r="O193" s="569">
        <f t="shared" si="100"/>
        <v>0</v>
      </c>
      <c r="P193" s="569"/>
      <c r="Q193" s="569">
        <f t="shared" si="100"/>
        <v>0</v>
      </c>
      <c r="R193" s="569"/>
      <c r="S193" s="767" t="s">
        <v>349</v>
      </c>
      <c r="T193" s="767" t="s">
        <v>696</v>
      </c>
      <c r="U193" s="579">
        <f>SUM(U194:U196)</f>
        <v>28</v>
      </c>
      <c r="V193" s="579"/>
      <c r="W193" s="577">
        <f>SUM(W194:W196)</f>
        <v>3.2924114323898683</v>
      </c>
      <c r="X193" s="577"/>
      <c r="Y193" s="577">
        <f>SUM(Y194:Y196)</f>
        <v>2.592</v>
      </c>
      <c r="Z193" s="577"/>
      <c r="AA193" s="577">
        <f>SUM(AA194:AA196)</f>
        <v>0.3498775374985475</v>
      </c>
      <c r="AB193" s="577"/>
      <c r="AC193" s="577">
        <f>SUM(AC194:AC196)</f>
        <v>0.2955338948913206</v>
      </c>
      <c r="AD193" s="700"/>
      <c r="AF193" s="540"/>
      <c r="AH193" s="512">
        <v>15234</v>
      </c>
      <c r="AJ193" s="513">
        <v>106.23302983559877</v>
      </c>
      <c r="AK193" s="514">
        <v>105.1948604625895</v>
      </c>
      <c r="AL193" s="513">
        <v>104.86113485125321</v>
      </c>
      <c r="AM193" s="512">
        <v>12</v>
      </c>
      <c r="AN193" s="512">
        <v>1000000</v>
      </c>
      <c r="AO193" s="512">
        <v>0.12</v>
      </c>
      <c r="AP193" s="523">
        <f t="shared" si="84"/>
        <v>0</v>
      </c>
      <c r="AQ193" s="523">
        <f t="shared" si="80"/>
        <v>0</v>
      </c>
      <c r="AR193" s="523">
        <f t="shared" si="81"/>
        <v>0</v>
      </c>
      <c r="AS193" s="512">
        <v>0.18</v>
      </c>
      <c r="AT193" s="523">
        <f t="shared" si="79"/>
        <v>2.5919999999999996</v>
      </c>
    </row>
    <row r="194" spans="1:46" ht="23.25" customHeight="1">
      <c r="A194" s="763"/>
      <c r="B194" s="742"/>
      <c r="C194" s="742"/>
      <c r="D194" s="491">
        <v>2013</v>
      </c>
      <c r="E194" s="578">
        <f>G194+I194+K194+M194+O194+Q194</f>
        <v>0</v>
      </c>
      <c r="F194" s="578">
        <f>N194</f>
        <v>8</v>
      </c>
      <c r="G194" s="585">
        <v>0</v>
      </c>
      <c r="H194" s="586">
        <v>0</v>
      </c>
      <c r="I194" s="578">
        <v>0</v>
      </c>
      <c r="J194" s="578">
        <v>0</v>
      </c>
      <c r="K194" s="585">
        <v>0</v>
      </c>
      <c r="L194" s="585">
        <v>0</v>
      </c>
      <c r="M194" s="585">
        <v>0</v>
      </c>
      <c r="N194" s="586">
        <v>8</v>
      </c>
      <c r="O194" s="585">
        <v>0</v>
      </c>
      <c r="P194" s="585">
        <v>0</v>
      </c>
      <c r="Q194" s="585">
        <v>0</v>
      </c>
      <c r="R194" s="585"/>
      <c r="S194" s="767"/>
      <c r="T194" s="767"/>
      <c r="U194" s="493">
        <f>AE194</f>
        <v>0</v>
      </c>
      <c r="V194" s="493">
        <v>13</v>
      </c>
      <c r="W194" s="577">
        <f>SUM(Y194:AC194)</f>
        <v>0.055</v>
      </c>
      <c r="X194" s="577">
        <f>Z194+AB194+AD194</f>
        <v>0.101</v>
      </c>
      <c r="Y194" s="577">
        <f>AT194</f>
        <v>0</v>
      </c>
      <c r="Z194" s="577">
        <v>0</v>
      </c>
      <c r="AA194" s="577">
        <f>AR194</f>
        <v>0</v>
      </c>
      <c r="AB194" s="577">
        <v>0.055</v>
      </c>
      <c r="AC194" s="577">
        <f>AQ194</f>
        <v>0</v>
      </c>
      <c r="AD194" s="700">
        <v>0.046</v>
      </c>
      <c r="AE194" s="512">
        <f t="shared" si="76"/>
        <v>0</v>
      </c>
      <c r="AF194" s="540">
        <v>0</v>
      </c>
      <c r="AH194" s="512">
        <v>15234</v>
      </c>
      <c r="AJ194" s="513">
        <v>106.23302983559877</v>
      </c>
      <c r="AK194" s="514">
        <v>105.1948604625895</v>
      </c>
      <c r="AL194" s="513">
        <v>104.86113485125321</v>
      </c>
      <c r="AM194" s="512">
        <v>12</v>
      </c>
      <c r="AN194" s="512">
        <v>1000000</v>
      </c>
      <c r="AO194" s="512">
        <v>0.12</v>
      </c>
      <c r="AP194" s="523">
        <f t="shared" si="84"/>
        <v>0</v>
      </c>
      <c r="AQ194" s="523">
        <f t="shared" si="80"/>
        <v>0</v>
      </c>
      <c r="AR194" s="523">
        <f t="shared" si="81"/>
        <v>0</v>
      </c>
      <c r="AS194" s="512">
        <v>0.18</v>
      </c>
      <c r="AT194" s="523">
        <f t="shared" si="79"/>
        <v>0</v>
      </c>
    </row>
    <row r="195" spans="1:46" ht="23.25" customHeight="1">
      <c r="A195" s="763"/>
      <c r="B195" s="742"/>
      <c r="C195" s="742"/>
      <c r="D195" s="491">
        <v>2014</v>
      </c>
      <c r="E195" s="578">
        <v>14</v>
      </c>
      <c r="F195" s="578">
        <v>11.1</v>
      </c>
      <c r="G195" s="585">
        <v>0</v>
      </c>
      <c r="H195" s="586"/>
      <c r="I195" s="578">
        <v>0</v>
      </c>
      <c r="J195" s="578"/>
      <c r="K195" s="585">
        <v>0</v>
      </c>
      <c r="L195" s="585"/>
      <c r="M195" s="585">
        <v>14</v>
      </c>
      <c r="N195" s="586">
        <v>11.1</v>
      </c>
      <c r="O195" s="585">
        <v>0</v>
      </c>
      <c r="P195" s="585"/>
      <c r="Q195" s="585">
        <v>0</v>
      </c>
      <c r="R195" s="585"/>
      <c r="S195" s="767"/>
      <c r="T195" s="767"/>
      <c r="U195" s="493">
        <f>AE195</f>
        <v>18</v>
      </c>
      <c r="V195" s="493">
        <v>32</v>
      </c>
      <c r="W195" s="577">
        <f>Y195+AA195+AC195</f>
        <v>1.9273779803112134</v>
      </c>
      <c r="X195" s="577">
        <f>Z195+AB195+AD195</f>
        <v>0.27</v>
      </c>
      <c r="Y195" s="577">
        <f>AT195</f>
        <v>1.512</v>
      </c>
      <c r="Z195" s="577"/>
      <c r="AA195" s="577">
        <f>AR195</f>
        <v>0.22517640312670878</v>
      </c>
      <c r="AB195" s="577">
        <v>0.16</v>
      </c>
      <c r="AC195" s="577">
        <f>AQ195</f>
        <v>0.1902015771845046</v>
      </c>
      <c r="AD195" s="700">
        <v>0.11</v>
      </c>
      <c r="AE195" s="512">
        <f t="shared" si="76"/>
        <v>18</v>
      </c>
      <c r="AF195" s="540">
        <v>18</v>
      </c>
      <c r="AH195" s="512">
        <v>15234</v>
      </c>
      <c r="AJ195" s="513">
        <v>106.23302983559877</v>
      </c>
      <c r="AK195" s="514">
        <v>105.1948604625895</v>
      </c>
      <c r="AL195" s="513">
        <v>104.86113485125321</v>
      </c>
      <c r="AM195" s="512">
        <v>12</v>
      </c>
      <c r="AN195" s="512">
        <v>1000000</v>
      </c>
      <c r="AO195" s="512">
        <v>0.12</v>
      </c>
      <c r="AP195" s="523">
        <f>AE195*AH195*AK195%*AM195/AN195*AO195</f>
        <v>0.41537798031121337</v>
      </c>
      <c r="AQ195" s="523">
        <f t="shared" si="80"/>
        <v>0.1902015771845046</v>
      </c>
      <c r="AR195" s="523">
        <f t="shared" si="81"/>
        <v>0.22517640312670878</v>
      </c>
      <c r="AS195" s="512">
        <v>0.18</v>
      </c>
      <c r="AT195" s="523">
        <f t="shared" si="79"/>
        <v>1.512</v>
      </c>
    </row>
    <row r="196" spans="1:46" s="644" customFormat="1" ht="23.25" customHeight="1">
      <c r="A196" s="763"/>
      <c r="B196" s="742"/>
      <c r="C196" s="742"/>
      <c r="D196" s="647">
        <v>2015</v>
      </c>
      <c r="E196" s="650">
        <v>10</v>
      </c>
      <c r="F196" s="650">
        <v>27.7</v>
      </c>
      <c r="G196" s="658">
        <v>0</v>
      </c>
      <c r="H196" s="667"/>
      <c r="I196" s="650">
        <v>0</v>
      </c>
      <c r="J196" s="650"/>
      <c r="K196" s="658">
        <v>0</v>
      </c>
      <c r="L196" s="658"/>
      <c r="M196" s="658">
        <v>10</v>
      </c>
      <c r="N196" s="667">
        <v>27.7</v>
      </c>
      <c r="O196" s="658">
        <v>0</v>
      </c>
      <c r="P196" s="658"/>
      <c r="Q196" s="658">
        <v>0</v>
      </c>
      <c r="R196" s="658"/>
      <c r="S196" s="767"/>
      <c r="T196" s="767"/>
      <c r="U196" s="637">
        <f>AE196</f>
        <v>10</v>
      </c>
      <c r="V196" s="637">
        <v>32</v>
      </c>
      <c r="W196" s="646">
        <f>SUM(Y196:AC196)</f>
        <v>1.3100334520786547</v>
      </c>
      <c r="X196" s="646"/>
      <c r="Y196" s="646">
        <f>AT196</f>
        <v>1.08</v>
      </c>
      <c r="Z196" s="646"/>
      <c r="AA196" s="646">
        <f>AR196</f>
        <v>0.12470113437183873</v>
      </c>
      <c r="AB196" s="646"/>
      <c r="AC196" s="646">
        <f>AQ196</f>
        <v>0.10533231770681599</v>
      </c>
      <c r="AD196" s="701"/>
      <c r="AE196" s="638">
        <f t="shared" si="76"/>
        <v>10</v>
      </c>
      <c r="AF196" s="659">
        <v>10</v>
      </c>
      <c r="AG196" s="638"/>
      <c r="AH196" s="638">
        <v>15234</v>
      </c>
      <c r="AI196" s="638"/>
      <c r="AJ196" s="641">
        <v>106.23302983559877</v>
      </c>
      <c r="AK196" s="642">
        <v>105.1948604625895</v>
      </c>
      <c r="AL196" s="641">
        <v>104.86113485125321</v>
      </c>
      <c r="AM196" s="638">
        <v>12</v>
      </c>
      <c r="AN196" s="638">
        <v>1000000</v>
      </c>
      <c r="AO196" s="638">
        <v>0.12</v>
      </c>
      <c r="AP196" s="643">
        <f>AE196*AH196*AL196%*AM196/AN196*AO196</f>
        <v>0.23003345207865472</v>
      </c>
      <c r="AQ196" s="643">
        <f t="shared" si="80"/>
        <v>0.10533231770681599</v>
      </c>
      <c r="AR196" s="643">
        <f t="shared" si="81"/>
        <v>0.12470113437183873</v>
      </c>
      <c r="AS196" s="638">
        <v>0.18</v>
      </c>
      <c r="AT196" s="643">
        <f t="shared" si="79"/>
        <v>1.08</v>
      </c>
    </row>
    <row r="197" spans="1:46" ht="17.25" customHeight="1">
      <c r="A197" s="763">
        <v>3</v>
      </c>
      <c r="B197" s="742" t="s">
        <v>266</v>
      </c>
      <c r="C197" s="742" t="s">
        <v>400</v>
      </c>
      <c r="D197" s="489" t="s">
        <v>273</v>
      </c>
      <c r="E197" s="578">
        <f>SUM(G197:Q197)</f>
        <v>2</v>
      </c>
      <c r="F197" s="578"/>
      <c r="G197" s="569">
        <f aca="true" t="shared" si="101" ref="G197:Q197">SUM(G198:G200)</f>
        <v>0</v>
      </c>
      <c r="H197" s="586"/>
      <c r="I197" s="578">
        <f t="shared" si="101"/>
        <v>0</v>
      </c>
      <c r="J197" s="578"/>
      <c r="K197" s="569">
        <f t="shared" si="101"/>
        <v>0</v>
      </c>
      <c r="L197" s="569"/>
      <c r="M197" s="569">
        <f t="shared" si="101"/>
        <v>2</v>
      </c>
      <c r="N197" s="586"/>
      <c r="O197" s="569">
        <f t="shared" si="101"/>
        <v>0</v>
      </c>
      <c r="P197" s="569"/>
      <c r="Q197" s="569">
        <f t="shared" si="101"/>
        <v>0</v>
      </c>
      <c r="R197" s="569"/>
      <c r="S197" s="767" t="s">
        <v>349</v>
      </c>
      <c r="T197" s="767" t="s">
        <v>697</v>
      </c>
      <c r="U197" s="579">
        <f>SUM(U198:U200)</f>
        <v>9</v>
      </c>
      <c r="V197" s="579"/>
      <c r="W197" s="577">
        <f>SUM(W198:W200)</f>
        <v>0.44032294388626364</v>
      </c>
      <c r="X197" s="577"/>
      <c r="Y197" s="577">
        <f>SUM(Y198:Y200)</f>
        <v>0.216</v>
      </c>
      <c r="Z197" s="577"/>
      <c r="AA197" s="577">
        <f>SUM(AA198:AA200)</f>
        <v>0.11238976788074354</v>
      </c>
      <c r="AB197" s="577"/>
      <c r="AC197" s="577">
        <f>SUM(AC198:AC200)</f>
        <v>0.09493317600552012</v>
      </c>
      <c r="AD197" s="700"/>
      <c r="AF197" s="540"/>
      <c r="AH197" s="512">
        <v>15234</v>
      </c>
      <c r="AJ197" s="513">
        <v>106.23302983559877</v>
      </c>
      <c r="AK197" s="514">
        <v>105.1948604625895</v>
      </c>
      <c r="AL197" s="513">
        <v>104.86113485125321</v>
      </c>
      <c r="AM197" s="512">
        <v>12</v>
      </c>
      <c r="AN197" s="512">
        <v>1000000</v>
      </c>
      <c r="AO197" s="512">
        <v>0.12</v>
      </c>
      <c r="AP197" s="523">
        <f>AE197*AH197*AJ197%*AM197/AN197*AO197</f>
        <v>0</v>
      </c>
      <c r="AQ197" s="523">
        <f t="shared" si="80"/>
        <v>0</v>
      </c>
      <c r="AR197" s="523">
        <f t="shared" si="81"/>
        <v>0</v>
      </c>
      <c r="AS197" s="512">
        <v>0.18</v>
      </c>
      <c r="AT197" s="523">
        <f t="shared" si="79"/>
        <v>0.216</v>
      </c>
    </row>
    <row r="198" spans="1:46" ht="17.25" customHeight="1">
      <c r="A198" s="763"/>
      <c r="B198" s="742"/>
      <c r="C198" s="742"/>
      <c r="D198" s="491">
        <v>2013</v>
      </c>
      <c r="E198" s="578">
        <f>G198+I198+K198+M198+O198+Q198</f>
        <v>0</v>
      </c>
      <c r="F198" s="578">
        <f>N198</f>
        <v>2.1</v>
      </c>
      <c r="G198" s="585">
        <v>0</v>
      </c>
      <c r="H198" s="586">
        <v>0</v>
      </c>
      <c r="I198" s="578">
        <v>0</v>
      </c>
      <c r="J198" s="578">
        <v>0</v>
      </c>
      <c r="K198" s="585">
        <v>0</v>
      </c>
      <c r="L198" s="585">
        <v>0</v>
      </c>
      <c r="M198" s="585">
        <v>0</v>
      </c>
      <c r="N198" s="586">
        <v>2.1</v>
      </c>
      <c r="O198" s="585">
        <v>0</v>
      </c>
      <c r="P198" s="585">
        <v>0</v>
      </c>
      <c r="Q198" s="585">
        <v>0</v>
      </c>
      <c r="R198" s="585"/>
      <c r="S198" s="767"/>
      <c r="T198" s="767"/>
      <c r="U198" s="493">
        <f>AE198</f>
        <v>0</v>
      </c>
      <c r="V198" s="493">
        <v>4</v>
      </c>
      <c r="W198" s="577">
        <f>SUM(Y198:AC198)</f>
        <v>0.017</v>
      </c>
      <c r="X198" s="577">
        <f>Z198+AB198+AD198</f>
        <v>0.031</v>
      </c>
      <c r="Y198" s="577">
        <f>AT198</f>
        <v>0</v>
      </c>
      <c r="Z198" s="577">
        <v>0</v>
      </c>
      <c r="AA198" s="577">
        <f>AR198</f>
        <v>0</v>
      </c>
      <c r="AB198" s="577">
        <v>0.017</v>
      </c>
      <c r="AC198" s="577">
        <f>AQ198</f>
        <v>0</v>
      </c>
      <c r="AD198" s="700">
        <v>0.014</v>
      </c>
      <c r="AE198" s="512">
        <f aca="true" t="shared" si="102" ref="AE198:AE263">AF198+AG198</f>
        <v>0</v>
      </c>
      <c r="AF198" s="540">
        <v>0</v>
      </c>
      <c r="AH198" s="512">
        <v>15234</v>
      </c>
      <c r="AJ198" s="513">
        <v>106.23302983559877</v>
      </c>
      <c r="AK198" s="514">
        <v>105.1948604625895</v>
      </c>
      <c r="AL198" s="513">
        <v>104.86113485125321</v>
      </c>
      <c r="AM198" s="512">
        <v>12</v>
      </c>
      <c r="AN198" s="512">
        <v>1000000</v>
      </c>
      <c r="AO198" s="512">
        <v>0.12</v>
      </c>
      <c r="AP198" s="523">
        <f>AE198*AH198*AJ198%*AM198/AN198*AO198</f>
        <v>0</v>
      </c>
      <c r="AQ198" s="523">
        <f t="shared" si="80"/>
        <v>0</v>
      </c>
      <c r="AR198" s="523">
        <f t="shared" si="81"/>
        <v>0</v>
      </c>
      <c r="AS198" s="512">
        <v>0.18</v>
      </c>
      <c r="AT198" s="523">
        <f t="shared" si="79"/>
        <v>0</v>
      </c>
    </row>
    <row r="199" spans="1:46" ht="17.25" customHeight="1">
      <c r="A199" s="763"/>
      <c r="B199" s="742"/>
      <c r="C199" s="742"/>
      <c r="D199" s="491">
        <v>2014</v>
      </c>
      <c r="E199" s="578">
        <f>SUM(G199:Q199)</f>
        <v>1.1</v>
      </c>
      <c r="F199" s="578">
        <v>0.1</v>
      </c>
      <c r="G199" s="585">
        <v>0</v>
      </c>
      <c r="H199" s="586"/>
      <c r="I199" s="578">
        <v>0</v>
      </c>
      <c r="J199" s="578"/>
      <c r="K199" s="585">
        <v>0</v>
      </c>
      <c r="L199" s="585"/>
      <c r="M199" s="585">
        <v>1</v>
      </c>
      <c r="N199" s="586">
        <v>0.1</v>
      </c>
      <c r="O199" s="585">
        <v>0</v>
      </c>
      <c r="P199" s="585"/>
      <c r="Q199" s="585">
        <v>0</v>
      </c>
      <c r="R199" s="585"/>
      <c r="S199" s="767"/>
      <c r="T199" s="767"/>
      <c r="U199" s="493">
        <f>AE199</f>
        <v>4</v>
      </c>
      <c r="V199" s="493">
        <v>2</v>
      </c>
      <c r="W199" s="577">
        <f>Y199+AA199+AC199</f>
        <v>0.20030621784693628</v>
      </c>
      <c r="X199" s="577">
        <f>AB199+AD199</f>
        <v>0.017</v>
      </c>
      <c r="Y199" s="577">
        <v>0.108</v>
      </c>
      <c r="Z199" s="577"/>
      <c r="AA199" s="577">
        <f>AR199</f>
        <v>0.05003920069482417</v>
      </c>
      <c r="AB199" s="577">
        <v>0.01</v>
      </c>
      <c r="AC199" s="577">
        <f>AQ199</f>
        <v>0.042267017152112125</v>
      </c>
      <c r="AD199" s="700">
        <v>0.007</v>
      </c>
      <c r="AE199" s="512">
        <f t="shared" si="102"/>
        <v>4</v>
      </c>
      <c r="AF199" s="540">
        <v>4</v>
      </c>
      <c r="AH199" s="512">
        <v>15234</v>
      </c>
      <c r="AJ199" s="513">
        <v>106.23302983559877</v>
      </c>
      <c r="AK199" s="514">
        <v>105.1948604625895</v>
      </c>
      <c r="AL199" s="513">
        <v>104.86113485125321</v>
      </c>
      <c r="AM199" s="512">
        <v>12</v>
      </c>
      <c r="AN199" s="512">
        <v>1000000</v>
      </c>
      <c r="AO199" s="512">
        <v>0.12</v>
      </c>
      <c r="AP199" s="523">
        <f>AE199*AH199*AK199%*AM199/AN199*AO199</f>
        <v>0.0923062178469363</v>
      </c>
      <c r="AQ199" s="523">
        <f t="shared" si="80"/>
        <v>0.042267017152112125</v>
      </c>
      <c r="AR199" s="523">
        <f t="shared" si="81"/>
        <v>0.05003920069482417</v>
      </c>
      <c r="AS199" s="512">
        <v>0.18</v>
      </c>
      <c r="AT199" s="523">
        <f t="shared" si="79"/>
        <v>0.1188</v>
      </c>
    </row>
    <row r="200" spans="1:46" s="644" customFormat="1" ht="17.25" customHeight="1">
      <c r="A200" s="763"/>
      <c r="B200" s="742"/>
      <c r="C200" s="742"/>
      <c r="D200" s="647">
        <v>2015</v>
      </c>
      <c r="E200" s="650">
        <v>1</v>
      </c>
      <c r="F200" s="650">
        <v>2</v>
      </c>
      <c r="G200" s="658">
        <v>0</v>
      </c>
      <c r="H200" s="667"/>
      <c r="I200" s="650">
        <v>0</v>
      </c>
      <c r="J200" s="650"/>
      <c r="K200" s="658">
        <v>0</v>
      </c>
      <c r="L200" s="658"/>
      <c r="M200" s="658">
        <v>1</v>
      </c>
      <c r="N200" s="667">
        <v>2</v>
      </c>
      <c r="O200" s="658">
        <v>0</v>
      </c>
      <c r="P200" s="658"/>
      <c r="Q200" s="658">
        <v>0</v>
      </c>
      <c r="R200" s="658"/>
      <c r="S200" s="767"/>
      <c r="T200" s="767"/>
      <c r="U200" s="637">
        <f>AE200</f>
        <v>5</v>
      </c>
      <c r="V200" s="637">
        <v>2</v>
      </c>
      <c r="W200" s="646">
        <f>SUM(Y200:AC200)</f>
        <v>0.22301672603932737</v>
      </c>
      <c r="X200" s="646"/>
      <c r="Y200" s="646">
        <f>AT200</f>
        <v>0.108</v>
      </c>
      <c r="Z200" s="646"/>
      <c r="AA200" s="646">
        <f>AR200</f>
        <v>0.062350567185919366</v>
      </c>
      <c r="AB200" s="646"/>
      <c r="AC200" s="646">
        <f>AQ200</f>
        <v>0.052666158853407995</v>
      </c>
      <c r="AD200" s="701"/>
      <c r="AE200" s="638">
        <f t="shared" si="102"/>
        <v>5</v>
      </c>
      <c r="AF200" s="659">
        <v>5</v>
      </c>
      <c r="AG200" s="638"/>
      <c r="AH200" s="638">
        <v>15234</v>
      </c>
      <c r="AI200" s="638"/>
      <c r="AJ200" s="641">
        <v>106.23302983559877</v>
      </c>
      <c r="AK200" s="642">
        <v>105.1948604625895</v>
      </c>
      <c r="AL200" s="641">
        <v>104.86113485125321</v>
      </c>
      <c r="AM200" s="638">
        <v>12</v>
      </c>
      <c r="AN200" s="638">
        <v>1000000</v>
      </c>
      <c r="AO200" s="638">
        <v>0.12</v>
      </c>
      <c r="AP200" s="643">
        <f>AE200*AH200*AL200%*AM200/AN200*AO200</f>
        <v>0.11501672603932736</v>
      </c>
      <c r="AQ200" s="643">
        <f t="shared" si="80"/>
        <v>0.052666158853407995</v>
      </c>
      <c r="AR200" s="643">
        <f t="shared" si="81"/>
        <v>0.062350567185919366</v>
      </c>
      <c r="AS200" s="638">
        <v>0.18</v>
      </c>
      <c r="AT200" s="643">
        <f t="shared" si="79"/>
        <v>0.108</v>
      </c>
    </row>
    <row r="201" spans="1:46" s="553" customFormat="1" ht="18" customHeight="1">
      <c r="A201" s="777" t="s">
        <v>624</v>
      </c>
      <c r="B201" s="777"/>
      <c r="C201" s="777"/>
      <c r="D201" s="777"/>
      <c r="E201" s="777"/>
      <c r="F201" s="777"/>
      <c r="G201" s="777"/>
      <c r="H201" s="777"/>
      <c r="I201" s="777"/>
      <c r="J201" s="777"/>
      <c r="K201" s="777"/>
      <c r="L201" s="777"/>
      <c r="M201" s="777"/>
      <c r="N201" s="777"/>
      <c r="O201" s="777"/>
      <c r="P201" s="777"/>
      <c r="Q201" s="777"/>
      <c r="R201" s="777"/>
      <c r="S201" s="777"/>
      <c r="T201" s="777"/>
      <c r="U201" s="777"/>
      <c r="V201" s="777"/>
      <c r="W201" s="777"/>
      <c r="X201" s="777"/>
      <c r="Y201" s="777"/>
      <c r="Z201" s="777"/>
      <c r="AA201" s="777"/>
      <c r="AB201" s="777"/>
      <c r="AC201" s="777"/>
      <c r="AD201" s="696"/>
      <c r="AE201" s="554"/>
      <c r="AF201" s="554"/>
      <c r="AG201" s="554"/>
      <c r="AH201" s="554"/>
      <c r="AI201" s="554"/>
      <c r="AJ201" s="555">
        <v>106.23302983559877</v>
      </c>
      <c r="AK201" s="556">
        <v>105.1948604625895</v>
      </c>
      <c r="AL201" s="555">
        <v>104.86113485125321</v>
      </c>
      <c r="AM201" s="554">
        <v>12</v>
      </c>
      <c r="AN201" s="554">
        <v>1000000</v>
      </c>
      <c r="AO201" s="554">
        <v>0.12</v>
      </c>
      <c r="AP201" s="563">
        <f t="shared" si="84"/>
        <v>0</v>
      </c>
      <c r="AQ201" s="563">
        <f t="shared" si="80"/>
        <v>0</v>
      </c>
      <c r="AR201" s="563">
        <f t="shared" si="81"/>
        <v>0</v>
      </c>
      <c r="AS201" s="554">
        <v>0.18</v>
      </c>
      <c r="AT201" s="563">
        <f t="shared" si="79"/>
        <v>0</v>
      </c>
    </row>
    <row r="202" spans="1:46" s="553" customFormat="1" ht="20.25" customHeight="1">
      <c r="A202" s="771"/>
      <c r="B202" s="771" t="s">
        <v>281</v>
      </c>
      <c r="C202" s="771"/>
      <c r="D202" s="675" t="s">
        <v>273</v>
      </c>
      <c r="E202" s="594">
        <f>G202+I202+K202+M202+O202+Q202</f>
        <v>884.0699999999999</v>
      </c>
      <c r="F202" s="594">
        <f>SUM(F203:F205)</f>
        <v>706.731</v>
      </c>
      <c r="G202" s="620">
        <f aca="true" t="shared" si="103" ref="G202:Q202">SUM(G203:G205)</f>
        <v>228</v>
      </c>
      <c r="H202" s="685">
        <f>SUM(H203:H205)</f>
        <v>4.0200000000000005</v>
      </c>
      <c r="I202" s="594">
        <f t="shared" si="103"/>
        <v>429.41999999999996</v>
      </c>
      <c r="J202" s="594">
        <f>SUM(J203:J205)</f>
        <v>365.38</v>
      </c>
      <c r="K202" s="620">
        <f t="shared" si="103"/>
        <v>38.8</v>
      </c>
      <c r="L202" s="620">
        <f>SUM(L203:L205)</f>
        <v>26.416000000000004</v>
      </c>
      <c r="M202" s="620">
        <f t="shared" si="103"/>
        <v>72.35</v>
      </c>
      <c r="N202" s="685">
        <f>SUM(N203:N205)</f>
        <v>11.9</v>
      </c>
      <c r="O202" s="620">
        <f t="shared" si="103"/>
        <v>0</v>
      </c>
      <c r="P202" s="620">
        <f>SUM(P203:P205)</f>
        <v>0</v>
      </c>
      <c r="Q202" s="620">
        <f t="shared" si="103"/>
        <v>115.5</v>
      </c>
      <c r="R202" s="620">
        <f>SUM(R203:R205)</f>
        <v>298.82</v>
      </c>
      <c r="S202" s="802"/>
      <c r="T202" s="802"/>
      <c r="U202" s="559">
        <f>SUM(U203:U205)</f>
        <v>216</v>
      </c>
      <c r="V202" s="559"/>
      <c r="W202" s="594">
        <f>Y202+AA202+AC202</f>
        <v>106.20420383734462</v>
      </c>
      <c r="X202" s="594">
        <f aca="true" t="shared" si="104" ref="X202:AD202">SUM(X203:X205)</f>
        <v>98.61200000000001</v>
      </c>
      <c r="Y202" s="594">
        <f t="shared" si="104"/>
        <v>94.39692</v>
      </c>
      <c r="Z202" s="594">
        <f t="shared" si="104"/>
        <v>52.632000000000005</v>
      </c>
      <c r="AA202" s="594">
        <f t="shared" si="104"/>
        <v>6.400728568224526</v>
      </c>
      <c r="AB202" s="594">
        <f t="shared" si="104"/>
        <v>0.053</v>
      </c>
      <c r="AC202" s="594">
        <f t="shared" si="104"/>
        <v>5.406555269120108</v>
      </c>
      <c r="AD202" s="685">
        <f t="shared" si="104"/>
        <v>0.247</v>
      </c>
      <c r="AE202" s="554"/>
      <c r="AF202" s="677">
        <f>SUM(AF203:AF205)</f>
        <v>28</v>
      </c>
      <c r="AG202" s="677">
        <f>SUM(AG203:AG205)</f>
        <v>188</v>
      </c>
      <c r="AH202" s="554"/>
      <c r="AI202" s="554"/>
      <c r="AJ202" s="555">
        <v>106.23302983559877</v>
      </c>
      <c r="AK202" s="556">
        <v>105.1948604625895</v>
      </c>
      <c r="AL202" s="555">
        <v>104.86113485125321</v>
      </c>
      <c r="AM202" s="554">
        <v>12</v>
      </c>
      <c r="AN202" s="554">
        <v>1000000</v>
      </c>
      <c r="AO202" s="554">
        <v>0.12</v>
      </c>
      <c r="AP202" s="563">
        <f t="shared" si="84"/>
        <v>0</v>
      </c>
      <c r="AQ202" s="563">
        <f t="shared" si="80"/>
        <v>0</v>
      </c>
      <c r="AR202" s="563">
        <f t="shared" si="81"/>
        <v>0</v>
      </c>
      <c r="AS202" s="554">
        <v>0.18</v>
      </c>
      <c r="AT202" s="563">
        <f t="shared" si="79"/>
        <v>95.47955999999998</v>
      </c>
    </row>
    <row r="203" spans="1:46" s="553" customFormat="1" ht="20.25" customHeight="1">
      <c r="A203" s="772"/>
      <c r="B203" s="771"/>
      <c r="C203" s="771"/>
      <c r="D203" s="616">
        <v>2013</v>
      </c>
      <c r="E203" s="594">
        <f>G203+I203+K203+M203+O203+Q203</f>
        <v>275.31</v>
      </c>
      <c r="F203" s="594">
        <f>SUM(F207+F211+F246)</f>
        <v>137.22000000000003</v>
      </c>
      <c r="G203" s="620">
        <f aca="true" t="shared" si="105" ref="G203:Q203">G207+G215+G219+G230+G250+G238+G242+G211+G234+G246</f>
        <v>76</v>
      </c>
      <c r="H203" s="685">
        <f>H207+H211</f>
        <v>2</v>
      </c>
      <c r="I203" s="594">
        <f t="shared" si="105"/>
        <v>92.43</v>
      </c>
      <c r="J203" s="594">
        <f>J207+J211</f>
        <v>85.41000000000001</v>
      </c>
      <c r="K203" s="620">
        <f t="shared" si="105"/>
        <v>20.83</v>
      </c>
      <c r="L203" s="620">
        <f>L207+L211+L246</f>
        <v>5.78</v>
      </c>
      <c r="M203" s="620">
        <f t="shared" si="105"/>
        <v>47.55</v>
      </c>
      <c r="N203" s="685">
        <f>N207+N211</f>
        <v>0</v>
      </c>
      <c r="O203" s="620">
        <f t="shared" si="105"/>
        <v>0</v>
      </c>
      <c r="P203" s="620">
        <f>P207+P211</f>
        <v>0</v>
      </c>
      <c r="Q203" s="620">
        <f t="shared" si="105"/>
        <v>38.5</v>
      </c>
      <c r="R203" s="620">
        <f>R207+R211</f>
        <v>44.02</v>
      </c>
      <c r="S203" s="802"/>
      <c r="T203" s="802"/>
      <c r="U203" s="559">
        <f>U207+U215+U219+U230+U250+U238+U242+U211+U234+U246</f>
        <v>54</v>
      </c>
      <c r="V203" s="559" t="s">
        <v>803</v>
      </c>
      <c r="W203" s="594">
        <v>31.5</v>
      </c>
      <c r="X203" s="594"/>
      <c r="Y203" s="594">
        <v>28.5</v>
      </c>
      <c r="Z203" s="594"/>
      <c r="AA203" s="594">
        <f aca="true" t="shared" si="106" ref="Y203:AC205">AA207+AA215+AA219+AA230+AA250+AA238+AA242+AA211+AA234</f>
        <v>1.6126587179269356</v>
      </c>
      <c r="AB203" s="594"/>
      <c r="AC203" s="594">
        <f t="shared" si="106"/>
        <v>1.362177507726884</v>
      </c>
      <c r="AD203" s="696"/>
      <c r="AE203" s="554"/>
      <c r="AF203" s="677">
        <f aca="true" t="shared" si="107" ref="AF203:AG205">AF207+AF215+AF219+AF230+AF250+AF238+AF242+AF211+AF234+AF246</f>
        <v>3</v>
      </c>
      <c r="AG203" s="677">
        <f t="shared" si="107"/>
        <v>51</v>
      </c>
      <c r="AH203" s="554"/>
      <c r="AI203" s="554"/>
      <c r="AJ203" s="555">
        <v>106.23302983559877</v>
      </c>
      <c r="AK203" s="556">
        <v>105.1948604625895</v>
      </c>
      <c r="AL203" s="555">
        <v>104.86113485125321</v>
      </c>
      <c r="AM203" s="554">
        <v>12</v>
      </c>
      <c r="AN203" s="554">
        <v>1000000</v>
      </c>
      <c r="AO203" s="554">
        <v>0.12</v>
      </c>
      <c r="AP203" s="563">
        <f t="shared" si="84"/>
        <v>0</v>
      </c>
      <c r="AQ203" s="563">
        <f t="shared" si="80"/>
        <v>0</v>
      </c>
      <c r="AR203" s="563">
        <f t="shared" si="81"/>
        <v>0</v>
      </c>
      <c r="AS203" s="554">
        <v>0.18</v>
      </c>
      <c r="AT203" s="563">
        <f t="shared" si="79"/>
        <v>29.73348</v>
      </c>
    </row>
    <row r="204" spans="1:46" s="553" customFormat="1" ht="20.25" customHeight="1">
      <c r="A204" s="772"/>
      <c r="B204" s="771"/>
      <c r="C204" s="771"/>
      <c r="D204" s="616">
        <v>2014</v>
      </c>
      <c r="E204" s="594">
        <f>G204+I204+K204+M204+O204+Q204</f>
        <v>349.88</v>
      </c>
      <c r="F204" s="594">
        <f>F208+F212+F247+F239+F220</f>
        <v>304.26</v>
      </c>
      <c r="G204" s="620">
        <f aca="true" t="shared" si="108" ref="G204:Q204">G208+G216+G220+G231+G251+G239+G243+G212+G235+G247</f>
        <v>76</v>
      </c>
      <c r="H204" s="685">
        <f>H208+H212+H247+H239</f>
        <v>1.7</v>
      </c>
      <c r="I204" s="594">
        <f t="shared" si="108"/>
        <v>212.48999999999998</v>
      </c>
      <c r="J204" s="594">
        <f>J208+J212+J247+J239+J220</f>
        <v>159.4</v>
      </c>
      <c r="K204" s="620">
        <f t="shared" si="108"/>
        <v>10.49</v>
      </c>
      <c r="L204" s="620">
        <f>L208+L212+L247+L239+L220</f>
        <v>11.05</v>
      </c>
      <c r="M204" s="620">
        <f t="shared" si="108"/>
        <v>12.4</v>
      </c>
      <c r="N204" s="685">
        <f>N208+N212+N247+N239</f>
        <v>11.9</v>
      </c>
      <c r="O204" s="620">
        <f t="shared" si="108"/>
        <v>0</v>
      </c>
      <c r="P204" s="620">
        <f>P208+P212+P247</f>
        <v>0</v>
      </c>
      <c r="Q204" s="620">
        <f t="shared" si="108"/>
        <v>38.5</v>
      </c>
      <c r="R204" s="620">
        <f>R208+R212+R247+R239</f>
        <v>120.1</v>
      </c>
      <c r="S204" s="802"/>
      <c r="T204" s="802"/>
      <c r="U204" s="559">
        <f>U208+U216+U220+U231+U251+U239+U243+U212+U235+U247</f>
        <v>134</v>
      </c>
      <c r="V204" s="620">
        <f>V208+V212+V247</f>
        <v>0</v>
      </c>
      <c r="W204" s="594">
        <f>Y204+AA204+AC204</f>
        <v>45.09689990698304</v>
      </c>
      <c r="X204" s="594">
        <f>X208+X212+X247+X220</f>
        <v>52.632000000000005</v>
      </c>
      <c r="Y204" s="594">
        <f t="shared" si="106"/>
        <v>37.78704</v>
      </c>
      <c r="Z204" s="594">
        <f>Z208+Z212+Z247+Z220</f>
        <v>52.632000000000005</v>
      </c>
      <c r="AA204" s="594">
        <f t="shared" si="106"/>
        <v>3.962675055575506</v>
      </c>
      <c r="AB204" s="594">
        <f>AB208+AB212+AB247</f>
        <v>0.053</v>
      </c>
      <c r="AC204" s="594">
        <f t="shared" si="106"/>
        <v>3.3471848514075337</v>
      </c>
      <c r="AD204" s="685">
        <f>AD208+AD212+AD247</f>
        <v>0.247</v>
      </c>
      <c r="AE204" s="554"/>
      <c r="AF204" s="677">
        <f t="shared" si="107"/>
        <v>23</v>
      </c>
      <c r="AG204" s="677">
        <f t="shared" si="107"/>
        <v>111</v>
      </c>
      <c r="AH204" s="554"/>
      <c r="AI204" s="554"/>
      <c r="AJ204" s="555">
        <v>106.23302983559877</v>
      </c>
      <c r="AK204" s="556">
        <v>105.1948604625895</v>
      </c>
      <c r="AL204" s="555">
        <v>104.86113485125321</v>
      </c>
      <c r="AM204" s="554">
        <v>12</v>
      </c>
      <c r="AN204" s="554">
        <v>1000000</v>
      </c>
      <c r="AO204" s="554">
        <v>0.12</v>
      </c>
      <c r="AP204" s="563">
        <f t="shared" si="84"/>
        <v>0</v>
      </c>
      <c r="AQ204" s="563">
        <f t="shared" si="80"/>
        <v>0</v>
      </c>
      <c r="AR204" s="563">
        <f t="shared" si="81"/>
        <v>0</v>
      </c>
      <c r="AS204" s="554">
        <v>0.18</v>
      </c>
      <c r="AT204" s="563">
        <f t="shared" si="79"/>
        <v>37.78704</v>
      </c>
    </row>
    <row r="205" spans="1:46" s="553" customFormat="1" ht="20.25" customHeight="1">
      <c r="A205" s="772"/>
      <c r="B205" s="771"/>
      <c r="C205" s="771"/>
      <c r="D205" s="616">
        <v>2015</v>
      </c>
      <c r="E205" s="594">
        <f>E209+E213+E217+E221+E232+E236+E240+E244+E248+E252</f>
        <v>260.31000000000006</v>
      </c>
      <c r="F205" s="594">
        <f>F209+F213+F217+F221+F232+F236+F240+F244+F248+F252</f>
        <v>265.251</v>
      </c>
      <c r="G205" s="620">
        <f aca="true" t="shared" si="109" ref="G205:Q205">G209+G217+G221+G232+G252+G240+G244+G213+G236+G248</f>
        <v>76</v>
      </c>
      <c r="H205" s="685">
        <f>H209+H213+H217+H221+H232+H236+H240+H244+H248+H252</f>
        <v>0.32</v>
      </c>
      <c r="I205" s="594">
        <f t="shared" si="109"/>
        <v>124.5</v>
      </c>
      <c r="J205" s="594">
        <f>J209+J213+J217+J221+J232+J236+J240+J244+J248+J252</f>
        <v>120.57</v>
      </c>
      <c r="K205" s="620">
        <f t="shared" si="109"/>
        <v>7.48</v>
      </c>
      <c r="L205" s="620">
        <f>L209+L213+L217+L221+L232+L236+L240+L244+L248+L252</f>
        <v>9.586</v>
      </c>
      <c r="M205" s="620">
        <f t="shared" si="109"/>
        <v>12.4</v>
      </c>
      <c r="N205" s="685">
        <f>N209+N213+N217+N221+N232+N236+N240+N244+N248+N252</f>
        <v>0</v>
      </c>
      <c r="O205" s="620">
        <f t="shared" si="109"/>
        <v>0</v>
      </c>
      <c r="P205" s="620">
        <f>P209+P213+P217+P221+P232+P236+P240+P244+P248+P252</f>
        <v>0</v>
      </c>
      <c r="Q205" s="620">
        <f t="shared" si="109"/>
        <v>38.5</v>
      </c>
      <c r="R205" s="620">
        <f>R209+R213+R217+R221+R232+R236+R240+R244+R248+R252</f>
        <v>134.7</v>
      </c>
      <c r="S205" s="802"/>
      <c r="T205" s="802"/>
      <c r="U205" s="559">
        <f>U209+U217+U221+U232+U252+U240+U244+U213+U236+U248</f>
        <v>28</v>
      </c>
      <c r="V205" s="620">
        <f>V209+V213+V217+V221+V232+V236+V240+V244+V248+V252</f>
        <v>0</v>
      </c>
      <c r="W205" s="594">
        <f>SUM(Y205+AA205+AC205)</f>
        <v>29.632467704707775</v>
      </c>
      <c r="X205" s="594">
        <f>X209+X213+X217+X221+X232+X236+X240+X244+X248+X252</f>
        <v>45.980000000000004</v>
      </c>
      <c r="Y205" s="594">
        <f>SUM(Y209+Y213+Y217+Y221+Y232+Y236+Y240+Y244+Y248+Y252)</f>
        <v>28.109879999999997</v>
      </c>
      <c r="Z205" s="594">
        <f>Z209+Z213+Z217+Z221+Z232+Z236+Z240+Z244+Z248+Z252</f>
        <v>0</v>
      </c>
      <c r="AA205" s="594">
        <f t="shared" si="106"/>
        <v>0.8253947947220848</v>
      </c>
      <c r="AB205" s="594">
        <f>AB209+AB213+AB217+AB221+AB232+AB236+AB240+AB244+AB248+AB252</f>
        <v>0</v>
      </c>
      <c r="AC205" s="594">
        <f t="shared" si="106"/>
        <v>0.6971929099856902</v>
      </c>
      <c r="AD205" s="685">
        <f>AD209+AD213+AD217+AD221+AD232+AD236+AD240+AD244+AD248+AD252</f>
        <v>0</v>
      </c>
      <c r="AE205" s="554"/>
      <c r="AF205" s="677">
        <f t="shared" si="107"/>
        <v>2</v>
      </c>
      <c r="AG205" s="677">
        <f t="shared" si="107"/>
        <v>26</v>
      </c>
      <c r="AH205" s="554"/>
      <c r="AI205" s="554"/>
      <c r="AJ205" s="555">
        <v>106.23302983559877</v>
      </c>
      <c r="AK205" s="556">
        <v>105.1948604625895</v>
      </c>
      <c r="AL205" s="555">
        <v>104.86113485125321</v>
      </c>
      <c r="AM205" s="554">
        <v>12</v>
      </c>
      <c r="AN205" s="554">
        <v>1000000</v>
      </c>
      <c r="AO205" s="554">
        <v>0.12</v>
      </c>
      <c r="AP205" s="563">
        <f t="shared" si="84"/>
        <v>0</v>
      </c>
      <c r="AQ205" s="563">
        <f t="shared" si="80"/>
        <v>0</v>
      </c>
      <c r="AR205" s="563">
        <f t="shared" si="81"/>
        <v>0</v>
      </c>
      <c r="AS205" s="554">
        <v>0.18</v>
      </c>
      <c r="AT205" s="563">
        <f t="shared" si="79"/>
        <v>28.113480000000006</v>
      </c>
    </row>
    <row r="206" spans="1:46" ht="30" customHeight="1">
      <c r="A206" s="763">
        <v>1</v>
      </c>
      <c r="B206" s="742" t="s">
        <v>605</v>
      </c>
      <c r="C206" s="742" t="s">
        <v>282</v>
      </c>
      <c r="D206" s="491" t="s">
        <v>273</v>
      </c>
      <c r="E206" s="578">
        <f aca="true" t="shared" si="110" ref="E206:E249">SUM(G206:Q206)</f>
        <v>174.60000000000002</v>
      </c>
      <c r="F206" s="578"/>
      <c r="G206" s="569">
        <f aca="true" t="shared" si="111" ref="G206:Q206">SUM(G207:G209)</f>
        <v>0</v>
      </c>
      <c r="H206" s="586"/>
      <c r="I206" s="578">
        <f t="shared" si="111"/>
        <v>42.900000000000006</v>
      </c>
      <c r="J206" s="578"/>
      <c r="K206" s="569">
        <f t="shared" si="111"/>
        <v>16.200000000000003</v>
      </c>
      <c r="L206" s="569"/>
      <c r="M206" s="569">
        <f t="shared" si="111"/>
        <v>0</v>
      </c>
      <c r="N206" s="586"/>
      <c r="O206" s="569">
        <f t="shared" si="111"/>
        <v>0</v>
      </c>
      <c r="P206" s="569"/>
      <c r="Q206" s="569">
        <f t="shared" si="111"/>
        <v>115.5</v>
      </c>
      <c r="R206" s="569"/>
      <c r="S206" s="762" t="s">
        <v>580</v>
      </c>
      <c r="T206" s="762" t="s">
        <v>300</v>
      </c>
      <c r="U206" s="579">
        <f>SUM(U207:U209)</f>
        <v>45</v>
      </c>
      <c r="V206" s="579"/>
      <c r="W206" s="577">
        <f aca="true" t="shared" si="112" ref="W206:W232">SUM(Y206:AC206)</f>
        <v>21.31708328071524</v>
      </c>
      <c r="X206" s="577"/>
      <c r="Y206" s="577">
        <f>SUM(Y207:Y209)</f>
        <v>18.8568</v>
      </c>
      <c r="Z206" s="577"/>
      <c r="AA206" s="577">
        <f>SUM(AA207:AA209)</f>
        <v>1.333719566475734</v>
      </c>
      <c r="AB206" s="577"/>
      <c r="AC206" s="577">
        <f>SUM(AC207:AC209)</f>
        <v>1.1265637142395104</v>
      </c>
      <c r="AD206" s="700"/>
      <c r="AE206" s="525"/>
      <c r="AF206" s="540"/>
      <c r="AG206" s="540"/>
      <c r="AH206" s="512">
        <v>36012</v>
      </c>
      <c r="AJ206" s="513">
        <v>106.23302983559877</v>
      </c>
      <c r="AK206" s="514">
        <v>105.1948604625895</v>
      </c>
      <c r="AL206" s="513">
        <v>104.86113485125321</v>
      </c>
      <c r="AM206" s="512">
        <v>12</v>
      </c>
      <c r="AN206" s="512">
        <v>1000000</v>
      </c>
      <c r="AO206" s="512">
        <v>0.12</v>
      </c>
      <c r="AP206" s="523">
        <f t="shared" si="84"/>
        <v>0</v>
      </c>
      <c r="AQ206" s="523">
        <f t="shared" si="80"/>
        <v>0</v>
      </c>
      <c r="AR206" s="523">
        <f t="shared" si="81"/>
        <v>0</v>
      </c>
      <c r="AS206" s="512">
        <v>0.18</v>
      </c>
      <c r="AT206" s="523">
        <f t="shared" si="79"/>
        <v>18.8568</v>
      </c>
    </row>
    <row r="207" spans="1:46" ht="30" customHeight="1">
      <c r="A207" s="763"/>
      <c r="B207" s="742"/>
      <c r="C207" s="742"/>
      <c r="D207" s="491">
        <v>2013</v>
      </c>
      <c r="E207" s="578">
        <f>G207+I207+K207+M207+O207+Q207</f>
        <v>58.2</v>
      </c>
      <c r="F207" s="578">
        <f>H207+J207+L207+R207</f>
        <v>128.21</v>
      </c>
      <c r="G207" s="569">
        <v>0</v>
      </c>
      <c r="H207" s="586">
        <v>0</v>
      </c>
      <c r="I207" s="578">
        <v>14.3</v>
      </c>
      <c r="J207" s="578">
        <v>82.51</v>
      </c>
      <c r="K207" s="569">
        <v>5.4</v>
      </c>
      <c r="L207" s="569">
        <v>1.68</v>
      </c>
      <c r="M207" s="569">
        <v>0</v>
      </c>
      <c r="N207" s="586"/>
      <c r="O207" s="569">
        <v>0</v>
      </c>
      <c r="P207" s="569"/>
      <c r="Q207" s="569">
        <v>38.5</v>
      </c>
      <c r="R207" s="569">
        <v>44.02</v>
      </c>
      <c r="S207" s="762"/>
      <c r="T207" s="762"/>
      <c r="U207" s="493">
        <f>AE207</f>
        <v>15</v>
      </c>
      <c r="V207" s="493" t="s">
        <v>803</v>
      </c>
      <c r="W207" s="577">
        <f t="shared" si="112"/>
        <v>7.2519433960149495</v>
      </c>
      <c r="X207" s="577">
        <f>AB207+AD207</f>
        <v>0.859</v>
      </c>
      <c r="Y207" s="577">
        <f>AT207</f>
        <v>6.2856</v>
      </c>
      <c r="Z207" s="577"/>
      <c r="AA207" s="577">
        <f>AR207</f>
        <v>0.44796075497970433</v>
      </c>
      <c r="AB207" s="577">
        <v>0.14</v>
      </c>
      <c r="AC207" s="577">
        <f>AQ207</f>
        <v>0.37838264103524555</v>
      </c>
      <c r="AD207" s="586">
        <f>0.121+0.598</f>
        <v>0.719</v>
      </c>
      <c r="AE207" s="512">
        <f t="shared" si="102"/>
        <v>15</v>
      </c>
      <c r="AF207" s="520">
        <v>0</v>
      </c>
      <c r="AG207" s="512">
        <v>15</v>
      </c>
      <c r="AH207" s="512">
        <v>36012</v>
      </c>
      <c r="AJ207" s="513">
        <v>106.23302983559877</v>
      </c>
      <c r="AK207" s="514">
        <v>105.1948604625895</v>
      </c>
      <c r="AL207" s="513">
        <v>104.86113485125321</v>
      </c>
      <c r="AM207" s="512">
        <v>12</v>
      </c>
      <c r="AN207" s="512">
        <v>1000000</v>
      </c>
      <c r="AO207" s="512">
        <v>0.12</v>
      </c>
      <c r="AP207" s="523">
        <f>AE207*AH207*AJ207%*AM207/AN207*AO207</f>
        <v>0.8263433960149499</v>
      </c>
      <c r="AQ207" s="523">
        <f t="shared" si="80"/>
        <v>0.37838264103524555</v>
      </c>
      <c r="AR207" s="523">
        <f t="shared" si="81"/>
        <v>0.44796075497970433</v>
      </c>
      <c r="AS207" s="512">
        <v>0.18</v>
      </c>
      <c r="AT207" s="523">
        <f t="shared" si="79"/>
        <v>6.2856</v>
      </c>
    </row>
    <row r="208" spans="1:46" ht="30" customHeight="1">
      <c r="A208" s="763"/>
      <c r="B208" s="742"/>
      <c r="C208" s="742"/>
      <c r="D208" s="491">
        <v>2014</v>
      </c>
      <c r="E208" s="578">
        <v>58.2</v>
      </c>
      <c r="F208" s="578">
        <v>265.96</v>
      </c>
      <c r="G208" s="569">
        <v>0</v>
      </c>
      <c r="H208" s="586">
        <v>0</v>
      </c>
      <c r="I208" s="578">
        <v>14.3</v>
      </c>
      <c r="J208" s="578">
        <v>144.1</v>
      </c>
      <c r="K208" s="569">
        <v>5.4</v>
      </c>
      <c r="L208" s="580">
        <v>1.75</v>
      </c>
      <c r="M208" s="569">
        <v>0</v>
      </c>
      <c r="N208" s="586"/>
      <c r="O208" s="569">
        <v>0</v>
      </c>
      <c r="P208" s="569"/>
      <c r="Q208" s="569">
        <v>38.5</v>
      </c>
      <c r="R208" s="569">
        <v>120.1</v>
      </c>
      <c r="S208" s="762"/>
      <c r="T208" s="762"/>
      <c r="U208" s="493">
        <f>AE208</f>
        <v>15</v>
      </c>
      <c r="V208" s="493"/>
      <c r="W208" s="577">
        <f t="shared" si="112"/>
        <v>55.03686790003542</v>
      </c>
      <c r="X208" s="577">
        <v>47.88</v>
      </c>
      <c r="Y208" s="577">
        <f>AT208</f>
        <v>6.2856</v>
      </c>
      <c r="Z208" s="577">
        <v>47.88</v>
      </c>
      <c r="AA208" s="577">
        <f>AR208</f>
        <v>0.44358302860919846</v>
      </c>
      <c r="AB208" s="577">
        <v>0.053</v>
      </c>
      <c r="AC208" s="577">
        <f>AQ208</f>
        <v>0.3746848714262165</v>
      </c>
      <c r="AD208" s="704">
        <v>0.247</v>
      </c>
      <c r="AE208" s="512">
        <f t="shared" si="102"/>
        <v>15</v>
      </c>
      <c r="AF208" s="520">
        <v>0</v>
      </c>
      <c r="AG208" s="512">
        <v>15</v>
      </c>
      <c r="AH208" s="512">
        <v>36012</v>
      </c>
      <c r="AJ208" s="513">
        <v>106.23302983559877</v>
      </c>
      <c r="AK208" s="514">
        <v>105.1948604625895</v>
      </c>
      <c r="AL208" s="513">
        <v>104.86113485125321</v>
      </c>
      <c r="AM208" s="512">
        <v>12</v>
      </c>
      <c r="AN208" s="512">
        <v>1000000</v>
      </c>
      <c r="AO208" s="512">
        <v>0.12</v>
      </c>
      <c r="AP208" s="523">
        <f>AE208*AH208*AK208%*AM208/AN208*AO208</f>
        <v>0.8182679000354149</v>
      </c>
      <c r="AQ208" s="523">
        <f t="shared" si="80"/>
        <v>0.3746848714262165</v>
      </c>
      <c r="AR208" s="523">
        <f t="shared" si="81"/>
        <v>0.44358302860919846</v>
      </c>
      <c r="AS208" s="512">
        <v>0.18</v>
      </c>
      <c r="AT208" s="523">
        <f t="shared" si="79"/>
        <v>6.2856</v>
      </c>
    </row>
    <row r="209" spans="1:46" s="644" customFormat="1" ht="30" customHeight="1">
      <c r="A209" s="763"/>
      <c r="B209" s="742"/>
      <c r="C209" s="742"/>
      <c r="D209" s="647">
        <v>2015</v>
      </c>
      <c r="E209" s="650">
        <v>58.2</v>
      </c>
      <c r="F209" s="650">
        <v>257.166</v>
      </c>
      <c r="G209" s="658">
        <v>0</v>
      </c>
      <c r="H209" s="667"/>
      <c r="I209" s="650">
        <v>14.3</v>
      </c>
      <c r="J209" s="733">
        <v>119.83</v>
      </c>
      <c r="K209" s="658">
        <v>5.4</v>
      </c>
      <c r="L209" s="658">
        <v>2.6</v>
      </c>
      <c r="M209" s="658">
        <v>0</v>
      </c>
      <c r="N209" s="667"/>
      <c r="O209" s="658">
        <v>0</v>
      </c>
      <c r="P209" s="658"/>
      <c r="Q209" s="658">
        <v>38.5</v>
      </c>
      <c r="R209" s="658">
        <v>134.7</v>
      </c>
      <c r="S209" s="742"/>
      <c r="T209" s="742"/>
      <c r="U209" s="637">
        <f>AE209</f>
        <v>15</v>
      </c>
      <c r="V209" s="637"/>
      <c r="W209" s="646">
        <f t="shared" si="112"/>
        <v>7.101271984664879</v>
      </c>
      <c r="X209" s="646">
        <v>41.15</v>
      </c>
      <c r="Y209" s="646">
        <f>AT209</f>
        <v>6.2856</v>
      </c>
      <c r="Z209" s="646"/>
      <c r="AA209" s="646">
        <f>AR209</f>
        <v>0.4421757828868312</v>
      </c>
      <c r="AB209" s="646"/>
      <c r="AC209" s="646">
        <f>AQ209</f>
        <v>0.37349620177804826</v>
      </c>
      <c r="AD209" s="701"/>
      <c r="AE209" s="638">
        <f t="shared" si="102"/>
        <v>15</v>
      </c>
      <c r="AF209" s="639">
        <v>0</v>
      </c>
      <c r="AG209" s="638">
        <v>15</v>
      </c>
      <c r="AH209" s="638">
        <v>36012</v>
      </c>
      <c r="AI209" s="638"/>
      <c r="AJ209" s="641">
        <v>106.23302983559877</v>
      </c>
      <c r="AK209" s="642">
        <v>105.1948604625895</v>
      </c>
      <c r="AL209" s="641">
        <v>104.86113485125321</v>
      </c>
      <c r="AM209" s="638">
        <v>12</v>
      </c>
      <c r="AN209" s="638">
        <v>1000000</v>
      </c>
      <c r="AO209" s="638">
        <v>0.12</v>
      </c>
      <c r="AP209" s="643">
        <f>AE209*AH209*AL209%*AM209/AN209*AO209</f>
        <v>0.8156719846648794</v>
      </c>
      <c r="AQ209" s="643">
        <f t="shared" si="80"/>
        <v>0.37349620177804826</v>
      </c>
      <c r="AR209" s="643">
        <f t="shared" si="81"/>
        <v>0.4421757828868312</v>
      </c>
      <c r="AS209" s="638">
        <v>0.18</v>
      </c>
      <c r="AT209" s="643">
        <f t="shared" si="79"/>
        <v>6.2856</v>
      </c>
    </row>
    <row r="210" spans="1:46" ht="26.25" customHeight="1">
      <c r="A210" s="763">
        <v>2</v>
      </c>
      <c r="B210" s="742" t="s">
        <v>506</v>
      </c>
      <c r="C210" s="742" t="s">
        <v>507</v>
      </c>
      <c r="D210" s="491" t="s">
        <v>273</v>
      </c>
      <c r="E210" s="578">
        <f t="shared" si="110"/>
        <v>111.03999999999999</v>
      </c>
      <c r="F210" s="578"/>
      <c r="G210" s="569">
        <f aca="true" t="shared" si="113" ref="G210:Q210">SUM(G211:G213)</f>
        <v>0</v>
      </c>
      <c r="H210" s="586"/>
      <c r="I210" s="578">
        <f>SUM(I211:I213)</f>
        <v>33.3</v>
      </c>
      <c r="J210" s="578"/>
      <c r="K210" s="569">
        <f t="shared" si="113"/>
        <v>11.14</v>
      </c>
      <c r="L210" s="569"/>
      <c r="M210" s="569">
        <f t="shared" si="113"/>
        <v>66.6</v>
      </c>
      <c r="N210" s="586"/>
      <c r="O210" s="569">
        <f t="shared" si="113"/>
        <v>0</v>
      </c>
      <c r="P210" s="569"/>
      <c r="Q210" s="569">
        <f t="shared" si="113"/>
        <v>0</v>
      </c>
      <c r="R210" s="569"/>
      <c r="S210" s="762" t="s">
        <v>508</v>
      </c>
      <c r="T210" s="762" t="s">
        <v>301</v>
      </c>
      <c r="U210" s="579">
        <f>SUM(U211:U213)</f>
        <v>50</v>
      </c>
      <c r="V210" s="579"/>
      <c r="W210" s="577">
        <f>SUM(Y210:AC210)</f>
        <v>14.733940048496763</v>
      </c>
      <c r="X210" s="577"/>
      <c r="Y210" s="577">
        <f>SUM(Y211:Y213)</f>
        <v>11.991959999999999</v>
      </c>
      <c r="Z210" s="577"/>
      <c r="AA210" s="577">
        <f>SUM(AA211:AA213)</f>
        <v>1.4864273842900952</v>
      </c>
      <c r="AB210" s="577"/>
      <c r="AC210" s="577">
        <f>SUM(AC211:AC213)</f>
        <v>1.2555526642066677</v>
      </c>
      <c r="AD210" s="700"/>
      <c r="AE210" s="541"/>
      <c r="AF210" s="541"/>
      <c r="AG210" s="541"/>
      <c r="AH210" s="512">
        <v>36012</v>
      </c>
      <c r="AJ210" s="513">
        <v>106.23302983559877</v>
      </c>
      <c r="AK210" s="514">
        <v>105.1948604625895</v>
      </c>
      <c r="AL210" s="513">
        <v>104.86113485125321</v>
      </c>
      <c r="AM210" s="512">
        <v>12</v>
      </c>
      <c r="AN210" s="512">
        <v>1000000</v>
      </c>
      <c r="AO210" s="512">
        <v>0.12</v>
      </c>
      <c r="AP210" s="523">
        <f t="shared" si="84"/>
        <v>0</v>
      </c>
      <c r="AQ210" s="523">
        <f t="shared" si="80"/>
        <v>0</v>
      </c>
      <c r="AR210" s="523">
        <f t="shared" si="81"/>
        <v>0</v>
      </c>
      <c r="AS210" s="512">
        <v>0.18</v>
      </c>
      <c r="AT210" s="523">
        <f t="shared" si="79"/>
        <v>11.99232</v>
      </c>
    </row>
    <row r="211" spans="1:46" ht="26.25" customHeight="1">
      <c r="A211" s="763"/>
      <c r="B211" s="742"/>
      <c r="C211" s="742"/>
      <c r="D211" s="491">
        <v>2013</v>
      </c>
      <c r="E211" s="578">
        <f>G211+I211+K211+M211+O211+Q211</f>
        <v>69.69999999999999</v>
      </c>
      <c r="F211" s="578">
        <f>H211+J211+L211</f>
        <v>6.800000000000001</v>
      </c>
      <c r="G211" s="569">
        <v>0</v>
      </c>
      <c r="H211" s="586">
        <v>2</v>
      </c>
      <c r="I211" s="578">
        <v>20.9</v>
      </c>
      <c r="J211" s="578">
        <v>2.9</v>
      </c>
      <c r="K211" s="569">
        <v>7</v>
      </c>
      <c r="L211" s="569">
        <v>1.9</v>
      </c>
      <c r="M211" s="569">
        <v>41.8</v>
      </c>
      <c r="N211" s="586">
        <v>0</v>
      </c>
      <c r="O211" s="569">
        <v>0</v>
      </c>
      <c r="P211" s="569"/>
      <c r="Q211" s="569">
        <v>0</v>
      </c>
      <c r="R211" s="569"/>
      <c r="S211" s="762"/>
      <c r="T211" s="762"/>
      <c r="U211" s="493">
        <f>AE211</f>
        <v>30</v>
      </c>
      <c r="V211" s="493"/>
      <c r="W211" s="577">
        <f>SUM(Y211:AC211)</f>
        <v>9.180286792029898</v>
      </c>
      <c r="X211" s="577"/>
      <c r="Y211" s="577">
        <f>AT211</f>
        <v>7.527599999999999</v>
      </c>
      <c r="Z211" s="577"/>
      <c r="AA211" s="577">
        <f>AR211</f>
        <v>0.8959215099594087</v>
      </c>
      <c r="AB211" s="577"/>
      <c r="AC211" s="577">
        <f>AQ211</f>
        <v>0.7567652820704911</v>
      </c>
      <c r="AD211" s="700"/>
      <c r="AE211" s="512">
        <f t="shared" si="102"/>
        <v>30</v>
      </c>
      <c r="AF211" s="520">
        <v>0</v>
      </c>
      <c r="AG211" s="512">
        <v>30</v>
      </c>
      <c r="AH211" s="512">
        <v>36012</v>
      </c>
      <c r="AJ211" s="513">
        <v>106.23302983559877</v>
      </c>
      <c r="AK211" s="514">
        <v>105.1948604625895</v>
      </c>
      <c r="AL211" s="513">
        <v>104.86113485125321</v>
      </c>
      <c r="AM211" s="512">
        <v>12</v>
      </c>
      <c r="AN211" s="512">
        <v>1000000</v>
      </c>
      <c r="AO211" s="512">
        <v>0.12</v>
      </c>
      <c r="AP211" s="523">
        <f>AE211*AH211*AJ211%*AM211/AN211*AO211</f>
        <v>1.6526867920298998</v>
      </c>
      <c r="AQ211" s="523">
        <f t="shared" si="80"/>
        <v>0.7567652820704911</v>
      </c>
      <c r="AR211" s="523">
        <f t="shared" si="81"/>
        <v>0.8959215099594087</v>
      </c>
      <c r="AS211" s="512">
        <v>0.18</v>
      </c>
      <c r="AT211" s="523">
        <f t="shared" si="79"/>
        <v>7.527599999999999</v>
      </c>
    </row>
    <row r="212" spans="1:46" ht="26.25" customHeight="1">
      <c r="A212" s="763"/>
      <c r="B212" s="742"/>
      <c r="C212" s="742"/>
      <c r="D212" s="491">
        <v>2014</v>
      </c>
      <c r="E212" s="578">
        <v>20.67</v>
      </c>
      <c r="F212" s="578">
        <v>22</v>
      </c>
      <c r="G212" s="569">
        <v>0</v>
      </c>
      <c r="H212" s="586">
        <v>1.7</v>
      </c>
      <c r="I212" s="578">
        <v>6.2</v>
      </c>
      <c r="J212" s="578">
        <v>11.3</v>
      </c>
      <c r="K212" s="569">
        <v>2.07</v>
      </c>
      <c r="L212" s="569">
        <v>8.9</v>
      </c>
      <c r="M212" s="569">
        <v>12.4</v>
      </c>
      <c r="N212" s="586"/>
      <c r="O212" s="569">
        <v>0</v>
      </c>
      <c r="P212" s="569"/>
      <c r="Q212" s="569">
        <v>0</v>
      </c>
      <c r="R212" s="569"/>
      <c r="S212" s="762"/>
      <c r="T212" s="762"/>
      <c r="U212" s="493">
        <f>AE212</f>
        <v>10</v>
      </c>
      <c r="V212" s="493"/>
      <c r="W212" s="577">
        <f>SUM(Y212:AC212)</f>
        <v>6.737871933356943</v>
      </c>
      <c r="X212" s="577">
        <v>3.96</v>
      </c>
      <c r="Y212" s="577">
        <f>AT212</f>
        <v>2.23236</v>
      </c>
      <c r="Z212" s="577">
        <v>3.96</v>
      </c>
      <c r="AA212" s="577">
        <f>AR212</f>
        <v>0.29572201907279905</v>
      </c>
      <c r="AB212" s="577"/>
      <c r="AC212" s="577">
        <f>AQ212</f>
        <v>0.24978991428414435</v>
      </c>
      <c r="AD212" s="700"/>
      <c r="AE212" s="512">
        <f t="shared" si="102"/>
        <v>10</v>
      </c>
      <c r="AF212" s="520">
        <v>0</v>
      </c>
      <c r="AG212" s="512">
        <v>10</v>
      </c>
      <c r="AH212" s="512">
        <v>36012</v>
      </c>
      <c r="AJ212" s="513">
        <v>106.23302983559877</v>
      </c>
      <c r="AK212" s="514">
        <v>105.1948604625895</v>
      </c>
      <c r="AL212" s="513">
        <v>104.86113485125321</v>
      </c>
      <c r="AM212" s="512">
        <v>12</v>
      </c>
      <c r="AN212" s="512">
        <v>1000000</v>
      </c>
      <c r="AO212" s="512">
        <v>0.12</v>
      </c>
      <c r="AP212" s="523">
        <f>AE212*AH212*AK212%*AM212/AN212*AO212</f>
        <v>0.5455119333569434</v>
      </c>
      <c r="AQ212" s="523">
        <f t="shared" si="80"/>
        <v>0.24978991428414435</v>
      </c>
      <c r="AR212" s="523">
        <f t="shared" si="81"/>
        <v>0.29572201907279905</v>
      </c>
      <c r="AS212" s="512">
        <v>0.18</v>
      </c>
      <c r="AT212" s="523">
        <f t="shared" si="79"/>
        <v>2.23236</v>
      </c>
    </row>
    <row r="213" spans="1:46" s="644" customFormat="1" ht="26.25" customHeight="1">
      <c r="A213" s="763"/>
      <c r="B213" s="742"/>
      <c r="C213" s="742"/>
      <c r="D213" s="647">
        <v>2015</v>
      </c>
      <c r="E213" s="650">
        <v>20.7</v>
      </c>
      <c r="F213" s="650">
        <v>3.859</v>
      </c>
      <c r="G213" s="634">
        <v>0</v>
      </c>
      <c r="H213" s="667">
        <v>0.32</v>
      </c>
      <c r="I213" s="650">
        <v>6.2</v>
      </c>
      <c r="J213" s="650">
        <v>0.74</v>
      </c>
      <c r="K213" s="634">
        <v>2.07</v>
      </c>
      <c r="L213" s="634">
        <v>2.8</v>
      </c>
      <c r="M213" s="634">
        <v>12.4</v>
      </c>
      <c r="N213" s="667"/>
      <c r="O213" s="634">
        <v>0</v>
      </c>
      <c r="P213" s="634"/>
      <c r="Q213" s="634">
        <v>0</v>
      </c>
      <c r="R213" s="634"/>
      <c r="S213" s="742"/>
      <c r="T213" s="742"/>
      <c r="U213" s="637">
        <f>AE213</f>
        <v>10</v>
      </c>
      <c r="V213" s="637"/>
      <c r="W213" s="646">
        <f>SUM(Y213:AC213)</f>
        <v>2.77578132310992</v>
      </c>
      <c r="X213" s="646">
        <v>0.6</v>
      </c>
      <c r="Y213" s="646">
        <v>2.232</v>
      </c>
      <c r="Z213" s="646"/>
      <c r="AA213" s="646">
        <f>AR213</f>
        <v>0.2947838552578875</v>
      </c>
      <c r="AB213" s="646"/>
      <c r="AC213" s="646">
        <f>AQ213</f>
        <v>0.2489974678520322</v>
      </c>
      <c r="AD213" s="701"/>
      <c r="AE213" s="638">
        <f t="shared" si="102"/>
        <v>10</v>
      </c>
      <c r="AF213" s="639">
        <v>0</v>
      </c>
      <c r="AG213" s="638">
        <v>10</v>
      </c>
      <c r="AH213" s="638">
        <v>36012</v>
      </c>
      <c r="AI213" s="638"/>
      <c r="AJ213" s="641">
        <v>106.23302983559877</v>
      </c>
      <c r="AK213" s="642">
        <v>105.1948604625895</v>
      </c>
      <c r="AL213" s="641">
        <v>104.86113485125321</v>
      </c>
      <c r="AM213" s="638">
        <v>12</v>
      </c>
      <c r="AN213" s="638">
        <v>1000000</v>
      </c>
      <c r="AO213" s="638">
        <v>0.12</v>
      </c>
      <c r="AP213" s="643">
        <f>AE213*AH213*AL213%*AM213/AN213*AO213</f>
        <v>0.5437813231099197</v>
      </c>
      <c r="AQ213" s="643">
        <f t="shared" si="80"/>
        <v>0.2489974678520322</v>
      </c>
      <c r="AR213" s="643">
        <f t="shared" si="81"/>
        <v>0.2947838552578875</v>
      </c>
      <c r="AS213" s="638">
        <v>0.18</v>
      </c>
      <c r="AT213" s="643">
        <f t="shared" si="79"/>
        <v>2.2356</v>
      </c>
    </row>
    <row r="214" spans="1:46" ht="51" customHeight="1">
      <c r="A214" s="763">
        <v>3</v>
      </c>
      <c r="B214" s="742" t="s">
        <v>284</v>
      </c>
      <c r="C214" s="768" t="s">
        <v>663</v>
      </c>
      <c r="D214" s="491" t="s">
        <v>273</v>
      </c>
      <c r="E214" s="578">
        <f t="shared" si="110"/>
        <v>7</v>
      </c>
      <c r="F214" s="578"/>
      <c r="G214" s="569">
        <f aca="true" t="shared" si="114" ref="G214:Q214">SUM(G215:G217)</f>
        <v>0</v>
      </c>
      <c r="H214" s="586"/>
      <c r="I214" s="578">
        <f t="shared" si="114"/>
        <v>6.65</v>
      </c>
      <c r="J214" s="578"/>
      <c r="K214" s="569">
        <f t="shared" si="114"/>
        <v>0.35000000000000003</v>
      </c>
      <c r="L214" s="569"/>
      <c r="M214" s="569">
        <f t="shared" si="114"/>
        <v>0</v>
      </c>
      <c r="N214" s="586"/>
      <c r="O214" s="569">
        <f t="shared" si="114"/>
        <v>0</v>
      </c>
      <c r="P214" s="569"/>
      <c r="Q214" s="569">
        <f t="shared" si="114"/>
        <v>0</v>
      </c>
      <c r="R214" s="569"/>
      <c r="S214" s="762" t="s">
        <v>581</v>
      </c>
      <c r="T214" s="768" t="s">
        <v>302</v>
      </c>
      <c r="U214" s="579">
        <f>SUM(U215:U217)</f>
        <v>4</v>
      </c>
      <c r="V214" s="579"/>
      <c r="W214" s="577">
        <f t="shared" si="112"/>
        <v>0.97635823893732</v>
      </c>
      <c r="X214" s="577"/>
      <c r="Y214" s="577">
        <f>SUM(Y215:Y217)</f>
        <v>0.756</v>
      </c>
      <c r="Z214" s="577"/>
      <c r="AA214" s="577">
        <f>SUM(AA215:AA217)</f>
        <v>0.11945620132792117</v>
      </c>
      <c r="AB214" s="577"/>
      <c r="AC214" s="577">
        <f>SUM(AC215:AC217)</f>
        <v>0.10090203760939881</v>
      </c>
      <c r="AD214" s="700"/>
      <c r="AE214" s="541"/>
      <c r="AF214" s="541"/>
      <c r="AG214" s="541"/>
      <c r="AH214" s="512">
        <v>36012</v>
      </c>
      <c r="AJ214" s="513">
        <v>106.23302983559877</v>
      </c>
      <c r="AK214" s="514">
        <v>105.1948604625895</v>
      </c>
      <c r="AL214" s="513">
        <v>104.86113485125321</v>
      </c>
      <c r="AM214" s="512">
        <v>12</v>
      </c>
      <c r="AN214" s="512">
        <v>1000000</v>
      </c>
      <c r="AO214" s="512">
        <v>0.12</v>
      </c>
      <c r="AP214" s="523">
        <f t="shared" si="84"/>
        <v>0</v>
      </c>
      <c r="AQ214" s="523">
        <f t="shared" si="80"/>
        <v>0</v>
      </c>
      <c r="AR214" s="523">
        <f t="shared" si="81"/>
        <v>0</v>
      </c>
      <c r="AS214" s="512">
        <v>0.18</v>
      </c>
      <c r="AT214" s="523">
        <f aca="true" t="shared" si="115" ref="AT214:AT277">E214*0.6*AS214</f>
        <v>0.756</v>
      </c>
    </row>
    <row r="215" spans="1:46" ht="51" customHeight="1">
      <c r="A215" s="763"/>
      <c r="B215" s="742"/>
      <c r="C215" s="769"/>
      <c r="D215" s="491">
        <v>2013</v>
      </c>
      <c r="E215" s="578">
        <f t="shared" si="110"/>
        <v>1.4000000000000001</v>
      </c>
      <c r="F215" s="578"/>
      <c r="G215" s="569">
        <v>0</v>
      </c>
      <c r="H215" s="586"/>
      <c r="I215" s="578">
        <v>1.33</v>
      </c>
      <c r="J215" s="578"/>
      <c r="K215" s="575">
        <v>0.07</v>
      </c>
      <c r="L215" s="575"/>
      <c r="M215" s="569">
        <v>0</v>
      </c>
      <c r="N215" s="586"/>
      <c r="O215" s="569">
        <v>0</v>
      </c>
      <c r="P215" s="569"/>
      <c r="Q215" s="569">
        <v>0</v>
      </c>
      <c r="R215" s="569"/>
      <c r="S215" s="742"/>
      <c r="T215" s="769"/>
      <c r="U215" s="493">
        <f>AE215</f>
        <v>4</v>
      </c>
      <c r="V215" s="493"/>
      <c r="W215" s="577">
        <f t="shared" si="112"/>
        <v>0.37155823893732</v>
      </c>
      <c r="X215" s="577"/>
      <c r="Y215" s="577">
        <f>AT215</f>
        <v>0.1512</v>
      </c>
      <c r="Z215" s="577"/>
      <c r="AA215" s="577">
        <f>AR215</f>
        <v>0.11945620132792117</v>
      </c>
      <c r="AB215" s="577"/>
      <c r="AC215" s="577">
        <f>AQ215</f>
        <v>0.10090203760939881</v>
      </c>
      <c r="AD215" s="700"/>
      <c r="AE215" s="512">
        <f t="shared" si="102"/>
        <v>4</v>
      </c>
      <c r="AF215" s="520">
        <v>0</v>
      </c>
      <c r="AG215" s="512">
        <v>4</v>
      </c>
      <c r="AH215" s="512">
        <v>36012</v>
      </c>
      <c r="AJ215" s="513">
        <v>106.23302983559877</v>
      </c>
      <c r="AK215" s="514">
        <v>105.1948604625895</v>
      </c>
      <c r="AL215" s="513">
        <v>104.86113485125321</v>
      </c>
      <c r="AM215" s="512">
        <v>12</v>
      </c>
      <c r="AN215" s="512">
        <v>1000000</v>
      </c>
      <c r="AO215" s="512">
        <v>0.12</v>
      </c>
      <c r="AP215" s="523">
        <f>AE215*AH215*AJ215%*AM215/AN215*AO215</f>
        <v>0.22035823893731998</v>
      </c>
      <c r="AQ215" s="523">
        <f aca="true" t="shared" si="116" ref="AQ215:AQ278">AP215*0.4579</f>
        <v>0.10090203760939881</v>
      </c>
      <c r="AR215" s="523">
        <f aca="true" t="shared" si="117" ref="AR215:AR278">AP215-AQ215</f>
        <v>0.11945620132792117</v>
      </c>
      <c r="AS215" s="512">
        <v>0.18</v>
      </c>
      <c r="AT215" s="523">
        <f t="shared" si="115"/>
        <v>0.1512</v>
      </c>
    </row>
    <row r="216" spans="1:46" ht="51" customHeight="1">
      <c r="A216" s="763"/>
      <c r="B216" s="742"/>
      <c r="C216" s="769"/>
      <c r="D216" s="491">
        <v>2014</v>
      </c>
      <c r="E216" s="578">
        <f t="shared" si="110"/>
        <v>5.6000000000000005</v>
      </c>
      <c r="F216" s="578"/>
      <c r="G216" s="569">
        <v>0</v>
      </c>
      <c r="H216" s="586"/>
      <c r="I216" s="578">
        <v>5.32</v>
      </c>
      <c r="J216" s="578"/>
      <c r="K216" s="575">
        <v>0.28</v>
      </c>
      <c r="L216" s="575"/>
      <c r="M216" s="569">
        <v>0</v>
      </c>
      <c r="N216" s="586"/>
      <c r="O216" s="569">
        <v>0</v>
      </c>
      <c r="P216" s="569"/>
      <c r="Q216" s="569">
        <v>0</v>
      </c>
      <c r="R216" s="569"/>
      <c r="S216" s="742"/>
      <c r="T216" s="769"/>
      <c r="U216" s="493">
        <f>AE216</f>
        <v>0</v>
      </c>
      <c r="V216" s="493"/>
      <c r="W216" s="577">
        <f t="shared" si="112"/>
        <v>0.6048</v>
      </c>
      <c r="X216" s="577"/>
      <c r="Y216" s="577">
        <f>AT216</f>
        <v>0.6048</v>
      </c>
      <c r="Z216" s="577"/>
      <c r="AA216" s="577">
        <f>AR216</f>
        <v>0</v>
      </c>
      <c r="AB216" s="577"/>
      <c r="AC216" s="577">
        <f>AQ216</f>
        <v>0</v>
      </c>
      <c r="AD216" s="700"/>
      <c r="AE216" s="512">
        <f t="shared" si="102"/>
        <v>0</v>
      </c>
      <c r="AF216" s="520">
        <v>0</v>
      </c>
      <c r="AH216" s="512">
        <v>36012</v>
      </c>
      <c r="AJ216" s="513">
        <v>106.23302983559877</v>
      </c>
      <c r="AK216" s="514">
        <v>105.1948604625895</v>
      </c>
      <c r="AL216" s="513">
        <v>104.86113485125321</v>
      </c>
      <c r="AM216" s="512">
        <v>12</v>
      </c>
      <c r="AN216" s="512">
        <v>1000000</v>
      </c>
      <c r="AO216" s="512">
        <v>0.12</v>
      </c>
      <c r="AP216" s="523">
        <f>AE216*AH216*AK216%*AM216/AN216*AO216</f>
        <v>0</v>
      </c>
      <c r="AQ216" s="523">
        <f t="shared" si="116"/>
        <v>0</v>
      </c>
      <c r="AR216" s="523">
        <f t="shared" si="117"/>
        <v>0</v>
      </c>
      <c r="AS216" s="512">
        <v>0.18</v>
      </c>
      <c r="AT216" s="523">
        <f t="shared" si="115"/>
        <v>0.6048</v>
      </c>
    </row>
    <row r="217" spans="1:46" ht="51" customHeight="1">
      <c r="A217" s="763"/>
      <c r="B217" s="742"/>
      <c r="C217" s="770"/>
      <c r="D217" s="491">
        <v>2015</v>
      </c>
      <c r="E217" s="578">
        <f t="shared" si="110"/>
        <v>0</v>
      </c>
      <c r="F217" s="578">
        <v>0</v>
      </c>
      <c r="G217" s="569">
        <v>0</v>
      </c>
      <c r="H217" s="586"/>
      <c r="I217" s="578">
        <v>0</v>
      </c>
      <c r="J217" s="578"/>
      <c r="K217" s="575">
        <v>0</v>
      </c>
      <c r="L217" s="575"/>
      <c r="M217" s="569">
        <v>0</v>
      </c>
      <c r="N217" s="586"/>
      <c r="O217" s="569">
        <v>0</v>
      </c>
      <c r="P217" s="569"/>
      <c r="Q217" s="569">
        <v>0</v>
      </c>
      <c r="R217" s="569"/>
      <c r="S217" s="742"/>
      <c r="T217" s="770"/>
      <c r="U217" s="493">
        <f>AE217</f>
        <v>0</v>
      </c>
      <c r="V217" s="493"/>
      <c r="W217" s="577">
        <f t="shared" si="112"/>
        <v>0</v>
      </c>
      <c r="X217" s="577"/>
      <c r="Y217" s="577">
        <f>AT217</f>
        <v>0</v>
      </c>
      <c r="Z217" s="577"/>
      <c r="AA217" s="577">
        <f>AR217</f>
        <v>0</v>
      </c>
      <c r="AB217" s="577"/>
      <c r="AC217" s="577">
        <f>AQ217</f>
        <v>0</v>
      </c>
      <c r="AD217" s="700"/>
      <c r="AE217" s="512">
        <f t="shared" si="102"/>
        <v>0</v>
      </c>
      <c r="AF217" s="520">
        <v>0</v>
      </c>
      <c r="AH217" s="512">
        <v>36012</v>
      </c>
      <c r="AJ217" s="513">
        <v>106.23302983559877</v>
      </c>
      <c r="AK217" s="514">
        <v>105.1948604625895</v>
      </c>
      <c r="AL217" s="513">
        <v>104.86113485125321</v>
      </c>
      <c r="AM217" s="512">
        <v>12</v>
      </c>
      <c r="AN217" s="512">
        <v>1000000</v>
      </c>
      <c r="AO217" s="512">
        <v>0.12</v>
      </c>
      <c r="AP217" s="523">
        <f>AE217*AH217*AL217%*AM217/AN217*AO217</f>
        <v>0</v>
      </c>
      <c r="AQ217" s="523">
        <f t="shared" si="116"/>
        <v>0</v>
      </c>
      <c r="AR217" s="523">
        <f t="shared" si="117"/>
        <v>0</v>
      </c>
      <c r="AS217" s="512">
        <v>0.18</v>
      </c>
      <c r="AT217" s="523">
        <f t="shared" si="115"/>
        <v>0</v>
      </c>
    </row>
    <row r="218" spans="1:46" ht="51" customHeight="1">
      <c r="A218" s="763">
        <v>4</v>
      </c>
      <c r="B218" s="742" t="s">
        <v>579</v>
      </c>
      <c r="C218" s="742" t="s">
        <v>588</v>
      </c>
      <c r="D218" s="491" t="s">
        <v>273</v>
      </c>
      <c r="E218" s="578">
        <f t="shared" si="110"/>
        <v>1.6</v>
      </c>
      <c r="F218" s="578"/>
      <c r="G218" s="569">
        <f aca="true" t="shared" si="118" ref="G218:Q218">SUM(G219:G221)</f>
        <v>0</v>
      </c>
      <c r="H218" s="586"/>
      <c r="I218" s="578">
        <f t="shared" si="118"/>
        <v>1.52</v>
      </c>
      <c r="J218" s="578"/>
      <c r="K218" s="569">
        <f t="shared" si="118"/>
        <v>0.08</v>
      </c>
      <c r="L218" s="569"/>
      <c r="M218" s="569">
        <f t="shared" si="118"/>
        <v>0</v>
      </c>
      <c r="N218" s="586"/>
      <c r="O218" s="569">
        <f t="shared" si="118"/>
        <v>0</v>
      </c>
      <c r="P218" s="569"/>
      <c r="Q218" s="569">
        <f t="shared" si="118"/>
        <v>0</v>
      </c>
      <c r="R218" s="569"/>
      <c r="S218" s="778" t="s">
        <v>582</v>
      </c>
      <c r="T218" s="768" t="s">
        <v>303</v>
      </c>
      <c r="U218" s="579">
        <f>SUM(U219:U221)</f>
        <v>10</v>
      </c>
      <c r="V218" s="579"/>
      <c r="W218" s="577">
        <f t="shared" si="112"/>
        <v>0.7183119333569433</v>
      </c>
      <c r="X218" s="577"/>
      <c r="Y218" s="577">
        <f>SUM(Y219:Y221)</f>
        <v>0.17279999999999998</v>
      </c>
      <c r="Z218" s="577"/>
      <c r="AA218" s="577">
        <f>SUM(AA219:AA221)</f>
        <v>0.29572201907279905</v>
      </c>
      <c r="AB218" s="577"/>
      <c r="AC218" s="577">
        <f>SUM(AC219:AC221)</f>
        <v>0.24978991428414435</v>
      </c>
      <c r="AD218" s="700"/>
      <c r="AE218" s="541"/>
      <c r="AF218" s="541"/>
      <c r="AG218" s="541"/>
      <c r="AH218" s="512">
        <v>36012</v>
      </c>
      <c r="AJ218" s="513">
        <v>106.23302983559877</v>
      </c>
      <c r="AK218" s="514">
        <v>105.1948604625895</v>
      </c>
      <c r="AL218" s="513">
        <v>104.86113485125321</v>
      </c>
      <c r="AM218" s="512">
        <v>12</v>
      </c>
      <c r="AN218" s="512">
        <v>1000000</v>
      </c>
      <c r="AO218" s="512">
        <v>0.12</v>
      </c>
      <c r="AP218" s="523">
        <f>AE218*AH218*AJ218%*AM218/AN218*AO218</f>
        <v>0</v>
      </c>
      <c r="AQ218" s="523">
        <f t="shared" si="116"/>
        <v>0</v>
      </c>
      <c r="AR218" s="523">
        <f t="shared" si="117"/>
        <v>0</v>
      </c>
      <c r="AS218" s="512">
        <v>0.18</v>
      </c>
      <c r="AT218" s="523">
        <f t="shared" si="115"/>
        <v>0.17279999999999998</v>
      </c>
    </row>
    <row r="219" spans="1:46" ht="51" customHeight="1">
      <c r="A219" s="763"/>
      <c r="B219" s="742"/>
      <c r="C219" s="742"/>
      <c r="D219" s="491">
        <v>2013</v>
      </c>
      <c r="E219" s="578">
        <f t="shared" si="110"/>
        <v>0</v>
      </c>
      <c r="F219" s="578"/>
      <c r="G219" s="569">
        <v>0</v>
      </c>
      <c r="H219" s="586"/>
      <c r="I219" s="578">
        <v>0</v>
      </c>
      <c r="J219" s="578"/>
      <c r="K219" s="569">
        <v>0</v>
      </c>
      <c r="L219" s="569"/>
      <c r="M219" s="569">
        <v>0</v>
      </c>
      <c r="N219" s="586"/>
      <c r="O219" s="569">
        <v>0</v>
      </c>
      <c r="P219" s="569"/>
      <c r="Q219" s="569">
        <v>0</v>
      </c>
      <c r="R219" s="569"/>
      <c r="S219" s="778"/>
      <c r="T219" s="769"/>
      <c r="U219" s="493">
        <f>AE219</f>
        <v>0</v>
      </c>
      <c r="V219" s="493"/>
      <c r="W219" s="577">
        <f t="shared" si="112"/>
        <v>0</v>
      </c>
      <c r="X219" s="577"/>
      <c r="Y219" s="577">
        <f>AT219</f>
        <v>0</v>
      </c>
      <c r="Z219" s="577"/>
      <c r="AA219" s="577">
        <f>AR219</f>
        <v>0</v>
      </c>
      <c r="AB219" s="577"/>
      <c r="AC219" s="577">
        <f>AQ219</f>
        <v>0</v>
      </c>
      <c r="AD219" s="700"/>
      <c r="AE219" s="512">
        <f t="shared" si="102"/>
        <v>0</v>
      </c>
      <c r="AF219" s="520">
        <v>0</v>
      </c>
      <c r="AH219" s="512">
        <v>36012</v>
      </c>
      <c r="AJ219" s="513">
        <v>106.23302983559877</v>
      </c>
      <c r="AK219" s="514">
        <v>105.1948604625895</v>
      </c>
      <c r="AL219" s="513">
        <v>104.86113485125321</v>
      </c>
      <c r="AM219" s="512">
        <v>12</v>
      </c>
      <c r="AN219" s="512">
        <v>1000000</v>
      </c>
      <c r="AO219" s="512">
        <v>0.12</v>
      </c>
      <c r="AP219" s="523">
        <f>AE219*AH219*AJ219%*AM219/AN219*AO219</f>
        <v>0</v>
      </c>
      <c r="AQ219" s="523">
        <f t="shared" si="116"/>
        <v>0</v>
      </c>
      <c r="AR219" s="523">
        <f t="shared" si="117"/>
        <v>0</v>
      </c>
      <c r="AS219" s="512">
        <v>0.18</v>
      </c>
      <c r="AT219" s="523">
        <f t="shared" si="115"/>
        <v>0</v>
      </c>
    </row>
    <row r="220" spans="1:46" ht="51" customHeight="1">
      <c r="A220" s="763"/>
      <c r="B220" s="742"/>
      <c r="C220" s="742"/>
      <c r="D220" s="491">
        <v>2014</v>
      </c>
      <c r="E220" s="578">
        <v>1.6</v>
      </c>
      <c r="F220" s="578">
        <v>4.3</v>
      </c>
      <c r="G220" s="569">
        <v>0</v>
      </c>
      <c r="H220" s="586"/>
      <c r="I220" s="578">
        <v>1.52</v>
      </c>
      <c r="J220" s="578">
        <v>4</v>
      </c>
      <c r="K220" s="569">
        <v>0.08</v>
      </c>
      <c r="L220" s="569">
        <v>0.3</v>
      </c>
      <c r="M220" s="569">
        <v>0</v>
      </c>
      <c r="N220" s="586"/>
      <c r="O220" s="569">
        <v>0</v>
      </c>
      <c r="P220" s="569"/>
      <c r="Q220" s="569">
        <v>0</v>
      </c>
      <c r="R220" s="569"/>
      <c r="S220" s="778"/>
      <c r="T220" s="769"/>
      <c r="U220" s="493">
        <f>AE220</f>
        <v>10</v>
      </c>
      <c r="V220" s="493"/>
      <c r="W220" s="577">
        <f t="shared" si="112"/>
        <v>1.4923119333569435</v>
      </c>
      <c r="X220" s="577">
        <v>0.774</v>
      </c>
      <c r="Y220" s="577">
        <f>AT220</f>
        <v>0.17279999999999998</v>
      </c>
      <c r="Z220" s="577">
        <v>0.774</v>
      </c>
      <c r="AA220" s="577">
        <f>AR220</f>
        <v>0.29572201907279905</v>
      </c>
      <c r="AB220" s="577"/>
      <c r="AC220" s="577">
        <f>AQ220</f>
        <v>0.24978991428414435</v>
      </c>
      <c r="AD220" s="700"/>
      <c r="AE220" s="512">
        <f t="shared" si="102"/>
        <v>10</v>
      </c>
      <c r="AF220" s="520">
        <v>0</v>
      </c>
      <c r="AG220" s="512">
        <v>10</v>
      </c>
      <c r="AH220" s="512">
        <v>36012</v>
      </c>
      <c r="AJ220" s="513">
        <v>106.23302983559877</v>
      </c>
      <c r="AK220" s="514">
        <v>105.1948604625895</v>
      </c>
      <c r="AL220" s="513">
        <v>104.86113485125321</v>
      </c>
      <c r="AM220" s="512">
        <v>12</v>
      </c>
      <c r="AN220" s="512">
        <v>1000000</v>
      </c>
      <c r="AO220" s="512">
        <v>0.12</v>
      </c>
      <c r="AP220" s="523">
        <f>AE220*AH220*AK220%*AM220/AN220*AO220</f>
        <v>0.5455119333569434</v>
      </c>
      <c r="AQ220" s="523">
        <f t="shared" si="116"/>
        <v>0.24978991428414435</v>
      </c>
      <c r="AR220" s="523">
        <f t="shared" si="117"/>
        <v>0.29572201907279905</v>
      </c>
      <c r="AS220" s="512">
        <v>0.18</v>
      </c>
      <c r="AT220" s="523">
        <f t="shared" si="115"/>
        <v>0.17279999999999998</v>
      </c>
    </row>
    <row r="221" spans="1:46" s="644" customFormat="1" ht="51" customHeight="1">
      <c r="A221" s="763"/>
      <c r="B221" s="742"/>
      <c r="C221" s="742"/>
      <c r="D221" s="647">
        <v>2015</v>
      </c>
      <c r="E221" s="650">
        <v>0</v>
      </c>
      <c r="F221" s="650">
        <v>2.786</v>
      </c>
      <c r="G221" s="634">
        <v>0</v>
      </c>
      <c r="H221" s="667"/>
      <c r="I221" s="650">
        <v>0</v>
      </c>
      <c r="J221" s="650"/>
      <c r="K221" s="660">
        <v>0</v>
      </c>
      <c r="L221" s="660">
        <v>2.786</v>
      </c>
      <c r="M221" s="634">
        <v>0</v>
      </c>
      <c r="N221" s="667"/>
      <c r="O221" s="634">
        <v>0</v>
      </c>
      <c r="P221" s="634"/>
      <c r="Q221" s="634">
        <v>0</v>
      </c>
      <c r="R221" s="634"/>
      <c r="S221" s="778"/>
      <c r="T221" s="770"/>
      <c r="U221" s="637">
        <f>AE221</f>
        <v>0</v>
      </c>
      <c r="V221" s="637"/>
      <c r="W221" s="646">
        <f t="shared" si="112"/>
        <v>0</v>
      </c>
      <c r="X221" s="646">
        <v>4.23</v>
      </c>
      <c r="Y221" s="646">
        <f>AT221</f>
        <v>0</v>
      </c>
      <c r="Z221" s="646"/>
      <c r="AA221" s="646">
        <f>AR221</f>
        <v>0</v>
      </c>
      <c r="AB221" s="646"/>
      <c r="AC221" s="646">
        <f>AQ221</f>
        <v>0</v>
      </c>
      <c r="AD221" s="701"/>
      <c r="AE221" s="638">
        <f t="shared" si="102"/>
        <v>0</v>
      </c>
      <c r="AF221" s="639">
        <v>0</v>
      </c>
      <c r="AG221" s="638"/>
      <c r="AH221" s="638">
        <v>36012</v>
      </c>
      <c r="AI221" s="638"/>
      <c r="AJ221" s="641">
        <v>106.23302983559877</v>
      </c>
      <c r="AK221" s="642">
        <v>105.1948604625895</v>
      </c>
      <c r="AL221" s="641">
        <v>104.86113485125321</v>
      </c>
      <c r="AM221" s="638">
        <v>12</v>
      </c>
      <c r="AN221" s="638">
        <v>1000000</v>
      </c>
      <c r="AO221" s="638">
        <v>0.12</v>
      </c>
      <c r="AP221" s="643">
        <f>AE221*AH221*AL221%*AM221/AN221*AO221</f>
        <v>0</v>
      </c>
      <c r="AQ221" s="643">
        <f t="shared" si="116"/>
        <v>0</v>
      </c>
      <c r="AR221" s="643">
        <f t="shared" si="117"/>
        <v>0</v>
      </c>
      <c r="AS221" s="638">
        <v>0.18</v>
      </c>
      <c r="AT221" s="643">
        <f t="shared" si="115"/>
        <v>0</v>
      </c>
    </row>
    <row r="222" spans="1:64" ht="18" customHeight="1" hidden="1">
      <c r="A222" s="773" t="s">
        <v>78</v>
      </c>
      <c r="B222" s="742" t="s">
        <v>419</v>
      </c>
      <c r="C222" s="742"/>
      <c r="D222" s="489" t="s">
        <v>477</v>
      </c>
      <c r="E222" s="578">
        <f t="shared" si="110"/>
        <v>0</v>
      </c>
      <c r="F222" s="578"/>
      <c r="G222" s="569">
        <f aca="true" t="shared" si="119" ref="G222:Q222">SUM(G223:G228)</f>
        <v>0</v>
      </c>
      <c r="H222" s="586"/>
      <c r="I222" s="578">
        <f>SUM(I223:I228)</f>
        <v>0</v>
      </c>
      <c r="J222" s="578"/>
      <c r="K222" s="569">
        <f t="shared" si="119"/>
        <v>0</v>
      </c>
      <c r="L222" s="569"/>
      <c r="M222" s="569">
        <f t="shared" si="119"/>
        <v>0</v>
      </c>
      <c r="N222" s="586"/>
      <c r="O222" s="569">
        <f t="shared" si="119"/>
        <v>0</v>
      </c>
      <c r="P222" s="569"/>
      <c r="Q222" s="569">
        <f t="shared" si="119"/>
        <v>0</v>
      </c>
      <c r="R222" s="569"/>
      <c r="S222" s="742" t="s">
        <v>583</v>
      </c>
      <c r="T222" s="782" t="s">
        <v>418</v>
      </c>
      <c r="U222" s="493">
        <v>0</v>
      </c>
      <c r="V222" s="493"/>
      <c r="W222" s="577">
        <f t="shared" si="112"/>
        <v>0</v>
      </c>
      <c r="X222" s="577"/>
      <c r="Y222" s="577">
        <v>0</v>
      </c>
      <c r="Z222" s="577"/>
      <c r="AA222" s="577">
        <v>0</v>
      </c>
      <c r="AB222" s="577"/>
      <c r="AC222" s="577">
        <v>0</v>
      </c>
      <c r="AD222" s="622"/>
      <c r="AE222" s="512">
        <f t="shared" si="102"/>
        <v>0</v>
      </c>
      <c r="AF222" s="520">
        <v>0</v>
      </c>
      <c r="AG222" s="530"/>
      <c r="AH222" s="512">
        <v>36012</v>
      </c>
      <c r="AJ222" s="513">
        <v>106.23302983559877</v>
      </c>
      <c r="AK222" s="514">
        <v>105.1948604625895</v>
      </c>
      <c r="AL222" s="513">
        <v>104.86113485125321</v>
      </c>
      <c r="AM222" s="512">
        <v>12</v>
      </c>
      <c r="AN222" s="512">
        <v>1000000</v>
      </c>
      <c r="AO222" s="512">
        <v>0.12</v>
      </c>
      <c r="AP222" s="523">
        <f aca="true" t="shared" si="120" ref="AP222:AP230">AE222*AH222*AJ222%*AM222/AN222*AO222</f>
        <v>0</v>
      </c>
      <c r="AQ222" s="523">
        <f t="shared" si="116"/>
        <v>0</v>
      </c>
      <c r="AR222" s="523">
        <f t="shared" si="117"/>
        <v>0</v>
      </c>
      <c r="AS222" s="512">
        <v>0.18</v>
      </c>
      <c r="AT222" s="523">
        <f t="shared" si="115"/>
        <v>0</v>
      </c>
      <c r="BC222" s="529"/>
      <c r="BD222" s="529"/>
      <c r="BE222" s="529"/>
      <c r="BF222" s="529"/>
      <c r="BG222" s="526"/>
      <c r="BH222" s="526"/>
      <c r="BJ222" s="527"/>
      <c r="BK222" s="527"/>
      <c r="BL222" s="528"/>
    </row>
    <row r="223" spans="1:64" ht="18" customHeight="1" hidden="1">
      <c r="A223" s="773"/>
      <c r="B223" s="742"/>
      <c r="C223" s="742"/>
      <c r="D223" s="489">
        <v>2010</v>
      </c>
      <c r="E223" s="578">
        <f t="shared" si="110"/>
        <v>0</v>
      </c>
      <c r="F223" s="578"/>
      <c r="G223" s="569">
        <v>0</v>
      </c>
      <c r="H223" s="586"/>
      <c r="I223" s="578">
        <v>0</v>
      </c>
      <c r="J223" s="578"/>
      <c r="K223" s="569">
        <v>0</v>
      </c>
      <c r="L223" s="569"/>
      <c r="M223" s="569">
        <v>0</v>
      </c>
      <c r="N223" s="586"/>
      <c r="O223" s="569">
        <v>0</v>
      </c>
      <c r="P223" s="569"/>
      <c r="Q223" s="569">
        <v>0</v>
      </c>
      <c r="R223" s="569"/>
      <c r="S223" s="742"/>
      <c r="T223" s="782"/>
      <c r="U223" s="493">
        <v>0</v>
      </c>
      <c r="V223" s="493"/>
      <c r="W223" s="577">
        <f t="shared" si="112"/>
        <v>0</v>
      </c>
      <c r="X223" s="577"/>
      <c r="Y223" s="577">
        <v>0</v>
      </c>
      <c r="Z223" s="577"/>
      <c r="AA223" s="577">
        <v>0</v>
      </c>
      <c r="AB223" s="577"/>
      <c r="AC223" s="577">
        <v>0</v>
      </c>
      <c r="AD223" s="622"/>
      <c r="AE223" s="512">
        <f t="shared" si="102"/>
        <v>0</v>
      </c>
      <c r="AF223" s="520">
        <v>0</v>
      </c>
      <c r="AG223" s="530"/>
      <c r="AH223" s="512">
        <v>36012</v>
      </c>
      <c r="AJ223" s="513">
        <v>106.23302983559877</v>
      </c>
      <c r="AK223" s="514">
        <v>105.1948604625895</v>
      </c>
      <c r="AL223" s="513">
        <v>104.86113485125321</v>
      </c>
      <c r="AM223" s="512">
        <v>12</v>
      </c>
      <c r="AN223" s="512">
        <v>1000000</v>
      </c>
      <c r="AO223" s="512">
        <v>0.12</v>
      </c>
      <c r="AP223" s="523">
        <f t="shared" si="120"/>
        <v>0</v>
      </c>
      <c r="AQ223" s="523">
        <f t="shared" si="116"/>
        <v>0</v>
      </c>
      <c r="AR223" s="523">
        <f t="shared" si="117"/>
        <v>0</v>
      </c>
      <c r="AS223" s="512">
        <v>0.18</v>
      </c>
      <c r="AT223" s="523">
        <f t="shared" si="115"/>
        <v>0</v>
      </c>
      <c r="BC223" s="529"/>
      <c r="BD223" s="529"/>
      <c r="BE223" s="529"/>
      <c r="BF223" s="529"/>
      <c r="BG223" s="526"/>
      <c r="BH223" s="526"/>
      <c r="BJ223" s="527"/>
      <c r="BK223" s="527"/>
      <c r="BL223" s="528"/>
    </row>
    <row r="224" spans="1:64" ht="18" customHeight="1" hidden="1">
      <c r="A224" s="773"/>
      <c r="B224" s="742"/>
      <c r="C224" s="742"/>
      <c r="D224" s="489">
        <v>2011</v>
      </c>
      <c r="E224" s="578">
        <f t="shared" si="110"/>
        <v>0</v>
      </c>
      <c r="F224" s="578"/>
      <c r="G224" s="569">
        <v>0</v>
      </c>
      <c r="H224" s="586"/>
      <c r="I224" s="578">
        <v>0</v>
      </c>
      <c r="J224" s="578"/>
      <c r="K224" s="569">
        <v>0</v>
      </c>
      <c r="L224" s="569"/>
      <c r="M224" s="569">
        <v>0</v>
      </c>
      <c r="N224" s="586"/>
      <c r="O224" s="569">
        <v>0</v>
      </c>
      <c r="P224" s="569"/>
      <c r="Q224" s="569">
        <v>0</v>
      </c>
      <c r="R224" s="569"/>
      <c r="S224" s="742"/>
      <c r="T224" s="782"/>
      <c r="U224" s="493">
        <v>0</v>
      </c>
      <c r="V224" s="493"/>
      <c r="W224" s="577">
        <f t="shared" si="112"/>
        <v>0</v>
      </c>
      <c r="X224" s="577"/>
      <c r="Y224" s="577">
        <v>0</v>
      </c>
      <c r="Z224" s="577"/>
      <c r="AA224" s="577">
        <v>0</v>
      </c>
      <c r="AB224" s="577"/>
      <c r="AC224" s="577">
        <v>0</v>
      </c>
      <c r="AD224" s="622"/>
      <c r="AE224" s="512">
        <f t="shared" si="102"/>
        <v>0</v>
      </c>
      <c r="AF224" s="520">
        <v>0</v>
      </c>
      <c r="AG224" s="530"/>
      <c r="AH224" s="512">
        <v>36012</v>
      </c>
      <c r="AJ224" s="513">
        <v>106.23302983559877</v>
      </c>
      <c r="AK224" s="514">
        <v>105.1948604625895</v>
      </c>
      <c r="AL224" s="513">
        <v>104.86113485125321</v>
      </c>
      <c r="AM224" s="512">
        <v>12</v>
      </c>
      <c r="AN224" s="512">
        <v>1000000</v>
      </c>
      <c r="AO224" s="512">
        <v>0.12</v>
      </c>
      <c r="AP224" s="523">
        <f t="shared" si="120"/>
        <v>0</v>
      </c>
      <c r="AQ224" s="523">
        <f t="shared" si="116"/>
        <v>0</v>
      </c>
      <c r="AR224" s="523">
        <f t="shared" si="117"/>
        <v>0</v>
      </c>
      <c r="AS224" s="512">
        <v>0.18</v>
      </c>
      <c r="AT224" s="523">
        <f t="shared" si="115"/>
        <v>0</v>
      </c>
      <c r="BC224" s="529"/>
      <c r="BD224" s="529"/>
      <c r="BE224" s="529"/>
      <c r="BF224" s="529"/>
      <c r="BG224" s="526"/>
      <c r="BH224" s="526"/>
      <c r="BJ224" s="527"/>
      <c r="BK224" s="527"/>
      <c r="BL224" s="528"/>
    </row>
    <row r="225" spans="1:64" ht="18" customHeight="1" hidden="1">
      <c r="A225" s="773"/>
      <c r="B225" s="742"/>
      <c r="C225" s="742"/>
      <c r="D225" s="489">
        <v>2012</v>
      </c>
      <c r="E225" s="578">
        <f t="shared" si="110"/>
        <v>0</v>
      </c>
      <c r="F225" s="578"/>
      <c r="G225" s="569">
        <v>0</v>
      </c>
      <c r="H225" s="586"/>
      <c r="I225" s="578">
        <v>0</v>
      </c>
      <c r="J225" s="578"/>
      <c r="K225" s="569">
        <v>0</v>
      </c>
      <c r="L225" s="569"/>
      <c r="M225" s="569">
        <v>0</v>
      </c>
      <c r="N225" s="586"/>
      <c r="O225" s="569">
        <v>0</v>
      </c>
      <c r="P225" s="569"/>
      <c r="Q225" s="569">
        <v>0</v>
      </c>
      <c r="R225" s="569"/>
      <c r="S225" s="742"/>
      <c r="T225" s="782"/>
      <c r="U225" s="493">
        <v>0</v>
      </c>
      <c r="V225" s="493"/>
      <c r="W225" s="577">
        <f t="shared" si="112"/>
        <v>0</v>
      </c>
      <c r="X225" s="577"/>
      <c r="Y225" s="577">
        <v>0</v>
      </c>
      <c r="Z225" s="577"/>
      <c r="AA225" s="577">
        <v>0</v>
      </c>
      <c r="AB225" s="577"/>
      <c r="AC225" s="577">
        <v>0</v>
      </c>
      <c r="AD225" s="622"/>
      <c r="AE225" s="512">
        <f t="shared" si="102"/>
        <v>0</v>
      </c>
      <c r="AF225" s="520">
        <v>0</v>
      </c>
      <c r="AG225" s="530"/>
      <c r="AH225" s="512">
        <v>36012</v>
      </c>
      <c r="AJ225" s="513">
        <v>106.23302983559877</v>
      </c>
      <c r="AK225" s="514">
        <v>105.1948604625895</v>
      </c>
      <c r="AL225" s="513">
        <v>104.86113485125321</v>
      </c>
      <c r="AM225" s="512">
        <v>12</v>
      </c>
      <c r="AN225" s="512">
        <v>1000000</v>
      </c>
      <c r="AO225" s="512">
        <v>0.12</v>
      </c>
      <c r="AP225" s="523">
        <f t="shared" si="120"/>
        <v>0</v>
      </c>
      <c r="AQ225" s="523">
        <f t="shared" si="116"/>
        <v>0</v>
      </c>
      <c r="AR225" s="523">
        <f t="shared" si="117"/>
        <v>0</v>
      </c>
      <c r="AS225" s="512">
        <v>0.18</v>
      </c>
      <c r="AT225" s="523">
        <f t="shared" si="115"/>
        <v>0</v>
      </c>
      <c r="BC225" s="529"/>
      <c r="BD225" s="529"/>
      <c r="BE225" s="529"/>
      <c r="BF225" s="529"/>
      <c r="BG225" s="526"/>
      <c r="BH225" s="526"/>
      <c r="BJ225" s="527"/>
      <c r="BK225" s="527"/>
      <c r="BL225" s="528"/>
    </row>
    <row r="226" spans="1:64" ht="18" customHeight="1" hidden="1">
      <c r="A226" s="773"/>
      <c r="B226" s="742"/>
      <c r="C226" s="742"/>
      <c r="D226" s="489">
        <v>2013</v>
      </c>
      <c r="E226" s="578">
        <f t="shared" si="110"/>
        <v>0</v>
      </c>
      <c r="F226" s="578"/>
      <c r="G226" s="569">
        <v>0</v>
      </c>
      <c r="H226" s="586"/>
      <c r="I226" s="578">
        <v>0</v>
      </c>
      <c r="J226" s="578"/>
      <c r="K226" s="569">
        <v>0</v>
      </c>
      <c r="L226" s="569"/>
      <c r="M226" s="569">
        <v>0</v>
      </c>
      <c r="N226" s="586"/>
      <c r="O226" s="569">
        <v>0</v>
      </c>
      <c r="P226" s="569"/>
      <c r="Q226" s="569">
        <v>0</v>
      </c>
      <c r="R226" s="569"/>
      <c r="S226" s="742"/>
      <c r="T226" s="782"/>
      <c r="U226" s="493">
        <v>0</v>
      </c>
      <c r="V226" s="493"/>
      <c r="W226" s="577">
        <f t="shared" si="112"/>
        <v>0</v>
      </c>
      <c r="X226" s="577"/>
      <c r="Y226" s="577">
        <v>0</v>
      </c>
      <c r="Z226" s="577"/>
      <c r="AA226" s="577">
        <v>0</v>
      </c>
      <c r="AB226" s="577"/>
      <c r="AC226" s="577">
        <v>0</v>
      </c>
      <c r="AD226" s="622"/>
      <c r="AE226" s="512">
        <f t="shared" si="102"/>
        <v>0</v>
      </c>
      <c r="AF226" s="520">
        <v>0</v>
      </c>
      <c r="AG226" s="530"/>
      <c r="AH226" s="512">
        <v>36012</v>
      </c>
      <c r="AJ226" s="513">
        <v>106.23302983559877</v>
      </c>
      <c r="AK226" s="514">
        <v>105.1948604625895</v>
      </c>
      <c r="AL226" s="513">
        <v>104.86113485125321</v>
      </c>
      <c r="AM226" s="512">
        <v>12</v>
      </c>
      <c r="AN226" s="512">
        <v>1000000</v>
      </c>
      <c r="AO226" s="512">
        <v>0.12</v>
      </c>
      <c r="AP226" s="523">
        <f t="shared" si="120"/>
        <v>0</v>
      </c>
      <c r="AQ226" s="523">
        <f t="shared" si="116"/>
        <v>0</v>
      </c>
      <c r="AR226" s="523">
        <f t="shared" si="117"/>
        <v>0</v>
      </c>
      <c r="AS226" s="512">
        <v>0.18</v>
      </c>
      <c r="AT226" s="523">
        <f t="shared" si="115"/>
        <v>0</v>
      </c>
      <c r="BC226" s="529"/>
      <c r="BD226" s="529"/>
      <c r="BE226" s="529"/>
      <c r="BF226" s="529"/>
      <c r="BG226" s="526"/>
      <c r="BH226" s="526"/>
      <c r="BJ226" s="527"/>
      <c r="BK226" s="527"/>
      <c r="BL226" s="528"/>
    </row>
    <row r="227" spans="1:64" ht="18" customHeight="1" hidden="1">
      <c r="A227" s="773"/>
      <c r="B227" s="742"/>
      <c r="C227" s="742"/>
      <c r="D227" s="489">
        <v>2014</v>
      </c>
      <c r="E227" s="578">
        <f t="shared" si="110"/>
        <v>0</v>
      </c>
      <c r="F227" s="578"/>
      <c r="G227" s="492">
        <v>0</v>
      </c>
      <c r="H227" s="622"/>
      <c r="I227" s="578">
        <v>0</v>
      </c>
      <c r="J227" s="578"/>
      <c r="K227" s="569">
        <v>0</v>
      </c>
      <c r="L227" s="569"/>
      <c r="M227" s="569">
        <v>0</v>
      </c>
      <c r="N227" s="586"/>
      <c r="O227" s="569">
        <v>0</v>
      </c>
      <c r="P227" s="569"/>
      <c r="Q227" s="569">
        <v>0</v>
      </c>
      <c r="R227" s="569"/>
      <c r="S227" s="742"/>
      <c r="T227" s="782"/>
      <c r="U227" s="493">
        <v>0</v>
      </c>
      <c r="V227" s="493"/>
      <c r="W227" s="577">
        <f t="shared" si="112"/>
        <v>0</v>
      </c>
      <c r="X227" s="577"/>
      <c r="Y227" s="577">
        <v>0</v>
      </c>
      <c r="Z227" s="577"/>
      <c r="AA227" s="577">
        <v>0</v>
      </c>
      <c r="AB227" s="577"/>
      <c r="AC227" s="577">
        <v>0</v>
      </c>
      <c r="AD227" s="622"/>
      <c r="AE227" s="512">
        <f t="shared" si="102"/>
        <v>0</v>
      </c>
      <c r="AF227" s="520">
        <v>0</v>
      </c>
      <c r="AG227" s="530"/>
      <c r="AH227" s="512">
        <v>36012</v>
      </c>
      <c r="AJ227" s="513">
        <v>106.23302983559877</v>
      </c>
      <c r="AK227" s="514">
        <v>105.1948604625895</v>
      </c>
      <c r="AL227" s="513">
        <v>104.86113485125321</v>
      </c>
      <c r="AM227" s="512">
        <v>12</v>
      </c>
      <c r="AN227" s="512">
        <v>1000000</v>
      </c>
      <c r="AO227" s="512">
        <v>0.12</v>
      </c>
      <c r="AP227" s="523">
        <f t="shared" si="120"/>
        <v>0</v>
      </c>
      <c r="AQ227" s="523">
        <f t="shared" si="116"/>
        <v>0</v>
      </c>
      <c r="AR227" s="523">
        <f t="shared" si="117"/>
        <v>0</v>
      </c>
      <c r="AS227" s="512">
        <v>0.18</v>
      </c>
      <c r="AT227" s="523">
        <f t="shared" si="115"/>
        <v>0</v>
      </c>
      <c r="BC227" s="529"/>
      <c r="BD227" s="529"/>
      <c r="BE227" s="529"/>
      <c r="BF227" s="529"/>
      <c r="BG227" s="526"/>
      <c r="BH227" s="526"/>
      <c r="BJ227" s="527"/>
      <c r="BK227" s="527"/>
      <c r="BL227" s="528"/>
    </row>
    <row r="228" spans="1:64" ht="18" customHeight="1" hidden="1">
      <c r="A228" s="773"/>
      <c r="B228" s="742"/>
      <c r="C228" s="742"/>
      <c r="D228" s="489">
        <v>2015</v>
      </c>
      <c r="E228" s="578">
        <f t="shared" si="110"/>
        <v>0</v>
      </c>
      <c r="F228" s="578"/>
      <c r="G228" s="492">
        <v>0</v>
      </c>
      <c r="H228" s="622"/>
      <c r="I228" s="578">
        <v>0</v>
      </c>
      <c r="J228" s="578"/>
      <c r="K228" s="569">
        <v>0</v>
      </c>
      <c r="L228" s="569"/>
      <c r="M228" s="569">
        <v>0</v>
      </c>
      <c r="N228" s="586"/>
      <c r="O228" s="569">
        <v>0</v>
      </c>
      <c r="P228" s="569"/>
      <c r="Q228" s="569">
        <v>0</v>
      </c>
      <c r="R228" s="569"/>
      <c r="S228" s="742"/>
      <c r="T228" s="782"/>
      <c r="U228" s="493">
        <v>0</v>
      </c>
      <c r="V228" s="493"/>
      <c r="W228" s="577">
        <f t="shared" si="112"/>
        <v>0</v>
      </c>
      <c r="X228" s="577"/>
      <c r="Y228" s="577">
        <v>0</v>
      </c>
      <c r="Z228" s="577"/>
      <c r="AA228" s="577">
        <v>0</v>
      </c>
      <c r="AB228" s="577"/>
      <c r="AC228" s="577">
        <v>0</v>
      </c>
      <c r="AD228" s="622"/>
      <c r="AE228" s="512">
        <f t="shared" si="102"/>
        <v>0</v>
      </c>
      <c r="AF228" s="520">
        <v>0</v>
      </c>
      <c r="AG228" s="530"/>
      <c r="AH228" s="512">
        <v>36012</v>
      </c>
      <c r="AJ228" s="513">
        <v>106.23302983559877</v>
      </c>
      <c r="AK228" s="514">
        <v>105.1948604625895</v>
      </c>
      <c r="AL228" s="513">
        <v>104.86113485125321</v>
      </c>
      <c r="AM228" s="512">
        <v>12</v>
      </c>
      <c r="AN228" s="512">
        <v>1000000</v>
      </c>
      <c r="AO228" s="512">
        <v>0.12</v>
      </c>
      <c r="AP228" s="523">
        <f t="shared" si="120"/>
        <v>0</v>
      </c>
      <c r="AQ228" s="523">
        <f t="shared" si="116"/>
        <v>0</v>
      </c>
      <c r="AR228" s="523">
        <f t="shared" si="117"/>
        <v>0</v>
      </c>
      <c r="AS228" s="512">
        <v>0.18</v>
      </c>
      <c r="AT228" s="523">
        <f t="shared" si="115"/>
        <v>0</v>
      </c>
      <c r="BC228" s="529"/>
      <c r="BD228" s="529"/>
      <c r="BE228" s="529"/>
      <c r="BF228" s="529"/>
      <c r="BG228" s="526"/>
      <c r="BH228" s="526"/>
      <c r="BJ228" s="527"/>
      <c r="BK228" s="527"/>
      <c r="BL228" s="528"/>
    </row>
    <row r="229" spans="1:46" ht="48" customHeight="1">
      <c r="A229" s="763">
        <v>5</v>
      </c>
      <c r="B229" s="742" t="s">
        <v>852</v>
      </c>
      <c r="C229" s="768" t="s">
        <v>515</v>
      </c>
      <c r="D229" s="491" t="s">
        <v>273</v>
      </c>
      <c r="E229" s="578">
        <f t="shared" si="110"/>
        <v>240.03</v>
      </c>
      <c r="F229" s="578"/>
      <c r="G229" s="569">
        <f aca="true" t="shared" si="121" ref="G229:Q229">SUM(G230:G232)</f>
        <v>228</v>
      </c>
      <c r="H229" s="586"/>
      <c r="I229" s="578">
        <f t="shared" si="121"/>
        <v>12</v>
      </c>
      <c r="J229" s="578"/>
      <c r="K229" s="575">
        <f>SUM(K230:K232)</f>
        <v>0.03</v>
      </c>
      <c r="L229" s="575"/>
      <c r="M229" s="569">
        <f t="shared" si="121"/>
        <v>0</v>
      </c>
      <c r="N229" s="586"/>
      <c r="O229" s="569">
        <f t="shared" si="121"/>
        <v>0</v>
      </c>
      <c r="P229" s="569"/>
      <c r="Q229" s="569">
        <f t="shared" si="121"/>
        <v>0</v>
      </c>
      <c r="R229" s="569"/>
      <c r="S229" s="742" t="s">
        <v>581</v>
      </c>
      <c r="T229" s="783" t="s">
        <v>304</v>
      </c>
      <c r="U229" s="493">
        <f>SUM(U230:U232)</f>
        <v>12</v>
      </c>
      <c r="V229" s="493"/>
      <c r="W229" s="577">
        <f>SUM(Y229:AC229)</f>
        <v>26.580026968947404</v>
      </c>
      <c r="X229" s="577"/>
      <c r="Y229" s="577">
        <f>SUM(Y230:Y232)</f>
        <v>25.92324</v>
      </c>
      <c r="Z229" s="577"/>
      <c r="AA229" s="577">
        <f>SUM(AA230:AA232)</f>
        <v>0.35604421586638724</v>
      </c>
      <c r="AB229" s="577"/>
      <c r="AC229" s="577">
        <f>SUM(AC230:AC232)</f>
        <v>0.3007427530810159</v>
      </c>
      <c r="AD229" s="700"/>
      <c r="AF229" s="520"/>
      <c r="AG229" s="541"/>
      <c r="AH229" s="512">
        <v>36012</v>
      </c>
      <c r="AJ229" s="513">
        <v>106.23302983559877</v>
      </c>
      <c r="AK229" s="514">
        <v>105.1948604625895</v>
      </c>
      <c r="AL229" s="513">
        <v>104.86113485125321</v>
      </c>
      <c r="AM229" s="512">
        <v>12</v>
      </c>
      <c r="AN229" s="512">
        <v>1000000</v>
      </c>
      <c r="AO229" s="512">
        <v>0.12</v>
      </c>
      <c r="AP229" s="523">
        <f t="shared" si="120"/>
        <v>0</v>
      </c>
      <c r="AQ229" s="523">
        <f t="shared" si="116"/>
        <v>0</v>
      </c>
      <c r="AR229" s="523">
        <f t="shared" si="117"/>
        <v>0</v>
      </c>
      <c r="AS229" s="512">
        <v>0.18</v>
      </c>
      <c r="AT229" s="523">
        <f t="shared" si="115"/>
        <v>25.92324</v>
      </c>
    </row>
    <row r="230" spans="1:46" ht="48" customHeight="1">
      <c r="A230" s="763"/>
      <c r="B230" s="742"/>
      <c r="C230" s="769"/>
      <c r="D230" s="489">
        <v>2013</v>
      </c>
      <c r="E230" s="578">
        <f t="shared" si="110"/>
        <v>80.01</v>
      </c>
      <c r="F230" s="578"/>
      <c r="G230" s="569">
        <v>76</v>
      </c>
      <c r="H230" s="586"/>
      <c r="I230" s="578">
        <v>4</v>
      </c>
      <c r="J230" s="578"/>
      <c r="K230" s="575">
        <v>0.01</v>
      </c>
      <c r="L230" s="575"/>
      <c r="M230" s="569">
        <v>0</v>
      </c>
      <c r="N230" s="586"/>
      <c r="O230" s="569">
        <v>0</v>
      </c>
      <c r="P230" s="569"/>
      <c r="Q230" s="569">
        <v>0</v>
      </c>
      <c r="R230" s="569"/>
      <c r="S230" s="742"/>
      <c r="T230" s="784"/>
      <c r="U230" s="493">
        <f>AE230</f>
        <v>5</v>
      </c>
      <c r="V230" s="493"/>
      <c r="W230" s="577">
        <f t="shared" si="112"/>
        <v>8.91652779867165</v>
      </c>
      <c r="X230" s="577"/>
      <c r="Y230" s="577">
        <f>AT230</f>
        <v>8.64108</v>
      </c>
      <c r="Z230" s="577"/>
      <c r="AA230" s="577">
        <f>AR230</f>
        <v>0.14932025165990145</v>
      </c>
      <c r="AB230" s="577"/>
      <c r="AC230" s="577">
        <f>AQ230</f>
        <v>0.12612754701174853</v>
      </c>
      <c r="AD230" s="700"/>
      <c r="AE230" s="512">
        <f t="shared" si="102"/>
        <v>5</v>
      </c>
      <c r="AF230" s="520">
        <v>3</v>
      </c>
      <c r="AG230" s="512">
        <v>2</v>
      </c>
      <c r="AH230" s="512">
        <v>36012</v>
      </c>
      <c r="AJ230" s="513">
        <v>106.23302983559877</v>
      </c>
      <c r="AK230" s="514">
        <v>105.1948604625895</v>
      </c>
      <c r="AL230" s="513">
        <v>104.86113485125321</v>
      </c>
      <c r="AM230" s="512">
        <v>12</v>
      </c>
      <c r="AN230" s="512">
        <v>1000000</v>
      </c>
      <c r="AO230" s="512">
        <v>0.12</v>
      </c>
      <c r="AP230" s="523">
        <f t="shared" si="120"/>
        <v>0.27544779867165</v>
      </c>
      <c r="AQ230" s="523">
        <f t="shared" si="116"/>
        <v>0.12612754701174853</v>
      </c>
      <c r="AR230" s="523">
        <f t="shared" si="117"/>
        <v>0.14932025165990145</v>
      </c>
      <c r="AS230" s="512">
        <v>0.18</v>
      </c>
      <c r="AT230" s="523">
        <f t="shared" si="115"/>
        <v>8.64108</v>
      </c>
    </row>
    <row r="231" spans="1:46" ht="48" customHeight="1">
      <c r="A231" s="763"/>
      <c r="B231" s="742"/>
      <c r="C231" s="769"/>
      <c r="D231" s="489">
        <v>2014</v>
      </c>
      <c r="E231" s="578">
        <f t="shared" si="110"/>
        <v>80.01</v>
      </c>
      <c r="F231" s="578"/>
      <c r="G231" s="569">
        <v>76</v>
      </c>
      <c r="H231" s="586"/>
      <c r="I231" s="578">
        <v>4</v>
      </c>
      <c r="J231" s="578"/>
      <c r="K231" s="575">
        <v>0.01</v>
      </c>
      <c r="L231" s="575"/>
      <c r="M231" s="569">
        <v>0</v>
      </c>
      <c r="N231" s="586"/>
      <c r="O231" s="569">
        <v>0</v>
      </c>
      <c r="P231" s="569"/>
      <c r="Q231" s="569">
        <v>0</v>
      </c>
      <c r="R231" s="569"/>
      <c r="S231" s="742"/>
      <c r="T231" s="784"/>
      <c r="U231" s="493">
        <f>AE231</f>
        <v>4</v>
      </c>
      <c r="V231" s="493"/>
      <c r="W231" s="577">
        <f t="shared" si="112"/>
        <v>8.859284773342777</v>
      </c>
      <c r="X231" s="577"/>
      <c r="Y231" s="577">
        <f>AT231</f>
        <v>8.64108</v>
      </c>
      <c r="Z231" s="577"/>
      <c r="AA231" s="577">
        <f>AR231</f>
        <v>0.11828880762911957</v>
      </c>
      <c r="AB231" s="577"/>
      <c r="AC231" s="577">
        <f>AQ231</f>
        <v>0.09991596571365773</v>
      </c>
      <c r="AD231" s="700"/>
      <c r="AE231" s="512">
        <f t="shared" si="102"/>
        <v>4</v>
      </c>
      <c r="AF231" s="520">
        <v>3</v>
      </c>
      <c r="AG231" s="512">
        <v>1</v>
      </c>
      <c r="AH231" s="512">
        <v>36012</v>
      </c>
      <c r="AJ231" s="513">
        <v>106.23302983559877</v>
      </c>
      <c r="AK231" s="514">
        <v>105.1948604625895</v>
      </c>
      <c r="AL231" s="513">
        <v>104.86113485125321</v>
      </c>
      <c r="AM231" s="512">
        <v>12</v>
      </c>
      <c r="AN231" s="512">
        <v>1000000</v>
      </c>
      <c r="AO231" s="512">
        <v>0.12</v>
      </c>
      <c r="AP231" s="523">
        <f>AE231*AH231*AK231%*AM231/AN231*AO231</f>
        <v>0.2182047733427773</v>
      </c>
      <c r="AQ231" s="523">
        <f t="shared" si="116"/>
        <v>0.09991596571365773</v>
      </c>
      <c r="AR231" s="523">
        <f t="shared" si="117"/>
        <v>0.11828880762911957</v>
      </c>
      <c r="AS231" s="512">
        <v>0.18</v>
      </c>
      <c r="AT231" s="523">
        <f t="shared" si="115"/>
        <v>8.64108</v>
      </c>
    </row>
    <row r="232" spans="1:46" ht="48" customHeight="1">
      <c r="A232" s="763"/>
      <c r="B232" s="742"/>
      <c r="C232" s="770"/>
      <c r="D232" s="489">
        <v>2015</v>
      </c>
      <c r="E232" s="578">
        <f t="shared" si="110"/>
        <v>80.01</v>
      </c>
      <c r="F232" s="578"/>
      <c r="G232" s="569">
        <v>76</v>
      </c>
      <c r="H232" s="586"/>
      <c r="I232" s="578">
        <v>4</v>
      </c>
      <c r="J232" s="578"/>
      <c r="K232" s="575">
        <v>0.01</v>
      </c>
      <c r="L232" s="575"/>
      <c r="M232" s="569">
        <v>0</v>
      </c>
      <c r="N232" s="586"/>
      <c r="O232" s="569">
        <v>0</v>
      </c>
      <c r="P232" s="569"/>
      <c r="Q232" s="569">
        <v>0</v>
      </c>
      <c r="R232" s="569"/>
      <c r="S232" s="742"/>
      <c r="T232" s="785"/>
      <c r="U232" s="493">
        <f>AE232</f>
        <v>3</v>
      </c>
      <c r="V232" s="493"/>
      <c r="W232" s="577">
        <f t="shared" si="112"/>
        <v>8.804214396932977</v>
      </c>
      <c r="X232" s="577"/>
      <c r="Y232" s="577">
        <f>AT232</f>
        <v>8.64108</v>
      </c>
      <c r="Z232" s="577"/>
      <c r="AA232" s="577">
        <f>AR232</f>
        <v>0.08843515657736623</v>
      </c>
      <c r="AB232" s="577"/>
      <c r="AC232" s="577">
        <f>AQ232</f>
        <v>0.07469924035560965</v>
      </c>
      <c r="AD232" s="700"/>
      <c r="AE232" s="512">
        <f t="shared" si="102"/>
        <v>3</v>
      </c>
      <c r="AF232" s="520">
        <v>2</v>
      </c>
      <c r="AG232" s="512">
        <v>1</v>
      </c>
      <c r="AH232" s="512">
        <v>36012</v>
      </c>
      <c r="AJ232" s="513">
        <v>106.23302983559877</v>
      </c>
      <c r="AK232" s="514">
        <v>105.1948604625895</v>
      </c>
      <c r="AL232" s="513">
        <v>104.86113485125321</v>
      </c>
      <c r="AM232" s="512">
        <v>12</v>
      </c>
      <c r="AN232" s="512">
        <v>1000000</v>
      </c>
      <c r="AO232" s="512">
        <v>0.12</v>
      </c>
      <c r="AP232" s="523">
        <f>AE232*AH232*AL232%*AM232/AN232*AO232</f>
        <v>0.16313439693297588</v>
      </c>
      <c r="AQ232" s="523">
        <f t="shared" si="116"/>
        <v>0.07469924035560965</v>
      </c>
      <c r="AR232" s="523">
        <f t="shared" si="117"/>
        <v>0.08843515657736623</v>
      </c>
      <c r="AS232" s="512">
        <v>0.18</v>
      </c>
      <c r="AT232" s="523">
        <f t="shared" si="115"/>
        <v>8.64108</v>
      </c>
    </row>
    <row r="233" spans="1:46" ht="30" customHeight="1">
      <c r="A233" s="763">
        <v>6</v>
      </c>
      <c r="B233" s="742" t="s">
        <v>674</v>
      </c>
      <c r="C233" s="742" t="s">
        <v>853</v>
      </c>
      <c r="D233" s="568" t="s">
        <v>273</v>
      </c>
      <c r="E233" s="578">
        <f t="shared" si="110"/>
        <v>18.799999999999997</v>
      </c>
      <c r="F233" s="578"/>
      <c r="G233" s="569">
        <f aca="true" t="shared" si="122" ref="G233:Q233">SUM(G234:G236)</f>
        <v>0</v>
      </c>
      <c r="H233" s="586"/>
      <c r="I233" s="578">
        <f t="shared" si="122"/>
        <v>17.9</v>
      </c>
      <c r="J233" s="578"/>
      <c r="K233" s="569">
        <f t="shared" si="122"/>
        <v>0.9</v>
      </c>
      <c r="L233" s="569"/>
      <c r="M233" s="569">
        <f t="shared" si="122"/>
        <v>0</v>
      </c>
      <c r="N233" s="586"/>
      <c r="O233" s="569">
        <f t="shared" si="122"/>
        <v>0</v>
      </c>
      <c r="P233" s="569"/>
      <c r="Q233" s="569">
        <f t="shared" si="122"/>
        <v>0</v>
      </c>
      <c r="R233" s="569"/>
      <c r="S233" s="762" t="s">
        <v>581</v>
      </c>
      <c r="T233" s="783" t="s">
        <v>305</v>
      </c>
      <c r="U233" s="579">
        <f>SUM(U234:U236)</f>
        <v>30</v>
      </c>
      <c r="V233" s="579"/>
      <c r="W233" s="577">
        <f>SUM(W234:W236)</f>
        <v>3.666935800070829</v>
      </c>
      <c r="X233" s="577"/>
      <c r="Y233" s="577">
        <f>SUM(Y234:Y236)</f>
        <v>2.0303999999999993</v>
      </c>
      <c r="Z233" s="577"/>
      <c r="AA233" s="577">
        <f>SUM(AA234:AA236)</f>
        <v>0.8871660572183969</v>
      </c>
      <c r="AB233" s="577"/>
      <c r="AC233" s="577">
        <f>SUM(AC234:AC236)</f>
        <v>0.749369742852433</v>
      </c>
      <c r="AD233" s="700"/>
      <c r="AE233" s="541"/>
      <c r="AF233" s="541"/>
      <c r="AG233" s="541"/>
      <c r="AH233" s="512">
        <v>36012</v>
      </c>
      <c r="AJ233" s="513">
        <v>106.23302983559877</v>
      </c>
      <c r="AK233" s="514">
        <v>105.1948604625895</v>
      </c>
      <c r="AL233" s="513">
        <v>104.86113485125321</v>
      </c>
      <c r="AM233" s="512">
        <v>12</v>
      </c>
      <c r="AN233" s="512">
        <v>1000000</v>
      </c>
      <c r="AO233" s="512">
        <v>0.12</v>
      </c>
      <c r="AP233" s="523">
        <f>AE233*AH233*AJ233%*AM233/AN233*AO233</f>
        <v>0</v>
      </c>
      <c r="AQ233" s="523">
        <f t="shared" si="116"/>
        <v>0</v>
      </c>
      <c r="AR233" s="523">
        <f t="shared" si="117"/>
        <v>0</v>
      </c>
      <c r="AS233" s="512">
        <v>0.18</v>
      </c>
      <c r="AT233" s="523">
        <f t="shared" si="115"/>
        <v>2.0303999999999993</v>
      </c>
    </row>
    <row r="234" spans="1:46" ht="30" customHeight="1">
      <c r="A234" s="763"/>
      <c r="B234" s="742"/>
      <c r="C234" s="742"/>
      <c r="D234" s="491">
        <v>2013</v>
      </c>
      <c r="E234" s="578">
        <f t="shared" si="110"/>
        <v>0</v>
      </c>
      <c r="F234" s="578"/>
      <c r="G234" s="569">
        <v>0</v>
      </c>
      <c r="H234" s="586"/>
      <c r="I234" s="578">
        <v>0</v>
      </c>
      <c r="J234" s="578"/>
      <c r="K234" s="569">
        <v>0</v>
      </c>
      <c r="L234" s="569"/>
      <c r="M234" s="569">
        <v>0</v>
      </c>
      <c r="N234" s="586"/>
      <c r="O234" s="569">
        <v>0</v>
      </c>
      <c r="P234" s="569"/>
      <c r="Q234" s="569">
        <v>0</v>
      </c>
      <c r="R234" s="569"/>
      <c r="S234" s="762"/>
      <c r="T234" s="784"/>
      <c r="U234" s="493">
        <f>AE234</f>
        <v>0</v>
      </c>
      <c r="V234" s="493"/>
      <c r="W234" s="577">
        <f>SUM(Y234:AC234)</f>
        <v>0</v>
      </c>
      <c r="X234" s="577"/>
      <c r="Y234" s="577">
        <f>AT234</f>
        <v>0</v>
      </c>
      <c r="Z234" s="577"/>
      <c r="AA234" s="577">
        <f>AR234</f>
        <v>0</v>
      </c>
      <c r="AB234" s="577"/>
      <c r="AC234" s="577">
        <f>AQ234</f>
        <v>0</v>
      </c>
      <c r="AD234" s="700"/>
      <c r="AE234" s="512">
        <f t="shared" si="102"/>
        <v>0</v>
      </c>
      <c r="AF234" s="520">
        <v>0</v>
      </c>
      <c r="AH234" s="512">
        <v>36012</v>
      </c>
      <c r="AJ234" s="513">
        <v>106.23302983559877</v>
      </c>
      <c r="AK234" s="514">
        <v>105.1948604625895</v>
      </c>
      <c r="AL234" s="513">
        <v>104.86113485125321</v>
      </c>
      <c r="AM234" s="512">
        <v>12</v>
      </c>
      <c r="AN234" s="512">
        <v>1000000</v>
      </c>
      <c r="AO234" s="512">
        <v>0.12</v>
      </c>
      <c r="AP234" s="523">
        <f>AE234*AH234*AJ234%*AM234/AN234*AO234</f>
        <v>0</v>
      </c>
      <c r="AQ234" s="523">
        <f t="shared" si="116"/>
        <v>0</v>
      </c>
      <c r="AR234" s="523">
        <f t="shared" si="117"/>
        <v>0</v>
      </c>
      <c r="AS234" s="512">
        <v>0.18</v>
      </c>
      <c r="AT234" s="523">
        <f t="shared" si="115"/>
        <v>0</v>
      </c>
    </row>
    <row r="235" spans="1:46" ht="30" customHeight="1">
      <c r="A235" s="763"/>
      <c r="B235" s="742"/>
      <c r="C235" s="742"/>
      <c r="D235" s="489" t="s">
        <v>601</v>
      </c>
      <c r="E235" s="578">
        <f t="shared" si="110"/>
        <v>18.799999999999997</v>
      </c>
      <c r="F235" s="578"/>
      <c r="G235" s="569">
        <v>0</v>
      </c>
      <c r="H235" s="586"/>
      <c r="I235" s="578">
        <v>17.9</v>
      </c>
      <c r="J235" s="578"/>
      <c r="K235" s="569">
        <v>0.9</v>
      </c>
      <c r="L235" s="569"/>
      <c r="M235" s="569">
        <v>0</v>
      </c>
      <c r="N235" s="586"/>
      <c r="O235" s="569">
        <v>0</v>
      </c>
      <c r="P235" s="569"/>
      <c r="Q235" s="569">
        <v>0</v>
      </c>
      <c r="R235" s="569"/>
      <c r="S235" s="762"/>
      <c r="T235" s="784"/>
      <c r="U235" s="493">
        <f>AE235</f>
        <v>30</v>
      </c>
      <c r="V235" s="493"/>
      <c r="W235" s="577">
        <f>SUM(Y235:AC235)</f>
        <v>3.666935800070829</v>
      </c>
      <c r="X235" s="577"/>
      <c r="Y235" s="577">
        <f>AT235</f>
        <v>2.0303999999999993</v>
      </c>
      <c r="Z235" s="577"/>
      <c r="AA235" s="577">
        <f>AR235</f>
        <v>0.8871660572183969</v>
      </c>
      <c r="AB235" s="577"/>
      <c r="AC235" s="577">
        <f>AQ235</f>
        <v>0.749369742852433</v>
      </c>
      <c r="AD235" s="700"/>
      <c r="AE235" s="512">
        <f t="shared" si="102"/>
        <v>30</v>
      </c>
      <c r="AF235" s="520">
        <v>0</v>
      </c>
      <c r="AG235" s="512">
        <v>30</v>
      </c>
      <c r="AH235" s="512">
        <v>36012</v>
      </c>
      <c r="AJ235" s="513">
        <v>106.23302983559877</v>
      </c>
      <c r="AK235" s="514">
        <v>105.1948604625895</v>
      </c>
      <c r="AL235" s="513">
        <v>104.86113485125321</v>
      </c>
      <c r="AM235" s="512">
        <v>12</v>
      </c>
      <c r="AN235" s="512">
        <v>1000000</v>
      </c>
      <c r="AO235" s="512">
        <v>0.12</v>
      </c>
      <c r="AP235" s="523">
        <f>AE235*AH235*AK235%*AM235/AN235*AO235</f>
        <v>1.6365358000708299</v>
      </c>
      <c r="AQ235" s="523">
        <f t="shared" si="116"/>
        <v>0.749369742852433</v>
      </c>
      <c r="AR235" s="523">
        <f t="shared" si="117"/>
        <v>0.8871660572183969</v>
      </c>
      <c r="AS235" s="512">
        <v>0.18</v>
      </c>
      <c r="AT235" s="523">
        <f t="shared" si="115"/>
        <v>2.0303999999999993</v>
      </c>
    </row>
    <row r="236" spans="1:46" ht="30" customHeight="1">
      <c r="A236" s="763"/>
      <c r="B236" s="742"/>
      <c r="C236" s="742"/>
      <c r="D236" s="489">
        <v>2015</v>
      </c>
      <c r="E236" s="578">
        <f t="shared" si="110"/>
        <v>0</v>
      </c>
      <c r="F236" s="578">
        <v>0</v>
      </c>
      <c r="G236" s="569">
        <v>0</v>
      </c>
      <c r="H236" s="586"/>
      <c r="I236" s="578">
        <v>0</v>
      </c>
      <c r="J236" s="578"/>
      <c r="K236" s="569">
        <v>0</v>
      </c>
      <c r="L236" s="569"/>
      <c r="M236" s="569">
        <v>0</v>
      </c>
      <c r="N236" s="586"/>
      <c r="O236" s="569">
        <v>0</v>
      </c>
      <c r="P236" s="569"/>
      <c r="Q236" s="569">
        <v>0</v>
      </c>
      <c r="R236" s="569"/>
      <c r="S236" s="762"/>
      <c r="T236" s="785"/>
      <c r="U236" s="493">
        <f>AE236</f>
        <v>0</v>
      </c>
      <c r="V236" s="493"/>
      <c r="W236" s="577">
        <f>SUM(Y236:AC236)</f>
        <v>0</v>
      </c>
      <c r="X236" s="577"/>
      <c r="Y236" s="577">
        <f>AT236</f>
        <v>0</v>
      </c>
      <c r="Z236" s="577"/>
      <c r="AA236" s="577">
        <f>AR236</f>
        <v>0</v>
      </c>
      <c r="AB236" s="577"/>
      <c r="AC236" s="577">
        <f>AQ236</f>
        <v>0</v>
      </c>
      <c r="AD236" s="700"/>
      <c r="AE236" s="512">
        <f t="shared" si="102"/>
        <v>0</v>
      </c>
      <c r="AF236" s="520">
        <v>0</v>
      </c>
      <c r="AH236" s="512">
        <v>36012</v>
      </c>
      <c r="AJ236" s="513">
        <v>106.23302983559877</v>
      </c>
      <c r="AK236" s="514">
        <v>105.1948604625895</v>
      </c>
      <c r="AL236" s="513">
        <v>104.86113485125321</v>
      </c>
      <c r="AM236" s="512">
        <v>12</v>
      </c>
      <c r="AN236" s="512">
        <v>1000000</v>
      </c>
      <c r="AO236" s="512">
        <v>0.12</v>
      </c>
      <c r="AP236" s="523">
        <f>AE236*AH236*AL236%*AM236/AN236*AO236</f>
        <v>0</v>
      </c>
      <c r="AQ236" s="523">
        <f t="shared" si="116"/>
        <v>0</v>
      </c>
      <c r="AR236" s="523">
        <f t="shared" si="117"/>
        <v>0</v>
      </c>
      <c r="AS236" s="512">
        <v>0.18</v>
      </c>
      <c r="AT236" s="523">
        <f t="shared" si="115"/>
        <v>0</v>
      </c>
    </row>
    <row r="237" spans="1:64" s="535" customFormat="1" ht="20.25" customHeight="1">
      <c r="A237" s="742">
        <v>7</v>
      </c>
      <c r="B237" s="742" t="s">
        <v>587</v>
      </c>
      <c r="C237" s="742" t="s">
        <v>26</v>
      </c>
      <c r="D237" s="489" t="s">
        <v>341</v>
      </c>
      <c r="E237" s="578">
        <f t="shared" si="110"/>
        <v>52</v>
      </c>
      <c r="F237" s="578"/>
      <c r="G237" s="569">
        <f aca="true" t="shared" si="123" ref="G237:Q237">SUM(G238:G240)</f>
        <v>0</v>
      </c>
      <c r="H237" s="586"/>
      <c r="I237" s="578">
        <f t="shared" si="123"/>
        <v>50.9</v>
      </c>
      <c r="J237" s="578"/>
      <c r="K237" s="569">
        <f t="shared" si="123"/>
        <v>1.1</v>
      </c>
      <c r="L237" s="569"/>
      <c r="M237" s="569">
        <f t="shared" si="123"/>
        <v>0</v>
      </c>
      <c r="N237" s="586"/>
      <c r="O237" s="569">
        <f t="shared" si="123"/>
        <v>0</v>
      </c>
      <c r="P237" s="569"/>
      <c r="Q237" s="569">
        <f t="shared" si="123"/>
        <v>0</v>
      </c>
      <c r="R237" s="569"/>
      <c r="S237" s="782" t="s">
        <v>516</v>
      </c>
      <c r="T237" s="782" t="s">
        <v>306</v>
      </c>
      <c r="U237" s="493">
        <f>SUM(U238:U240)</f>
        <v>55</v>
      </c>
      <c r="V237" s="493"/>
      <c r="W237" s="577">
        <f aca="true" t="shared" si="124" ref="W237:W244">SUM(Y237:AC237)</f>
        <v>8.616315633463188</v>
      </c>
      <c r="X237" s="577"/>
      <c r="Y237" s="577">
        <f>SUM(Y238:Y240)</f>
        <v>5.616</v>
      </c>
      <c r="Z237" s="577"/>
      <c r="AA237" s="577">
        <f>SUM(AA238:AA240)</f>
        <v>1.6264711049003941</v>
      </c>
      <c r="AB237" s="577"/>
      <c r="AC237" s="577">
        <f>SUM(AC238:AC240)</f>
        <v>1.3738445285627936</v>
      </c>
      <c r="AD237" s="622"/>
      <c r="AE237" s="512"/>
      <c r="AF237" s="520"/>
      <c r="AG237" s="520"/>
      <c r="AH237" s="512">
        <v>36012</v>
      </c>
      <c r="AI237" s="512"/>
      <c r="AJ237" s="513">
        <v>106.23302983559877</v>
      </c>
      <c r="AK237" s="514">
        <v>105.1948604625895</v>
      </c>
      <c r="AL237" s="513">
        <v>104.86113485125321</v>
      </c>
      <c r="AM237" s="512">
        <v>12</v>
      </c>
      <c r="AN237" s="512">
        <v>1000000</v>
      </c>
      <c r="AO237" s="512">
        <v>0.12</v>
      </c>
      <c r="AP237" s="523">
        <f>AE237*AH237*AJ237%*AM237/AN237*AO237</f>
        <v>0</v>
      </c>
      <c r="AQ237" s="523">
        <f t="shared" si="116"/>
        <v>0</v>
      </c>
      <c r="AR237" s="523">
        <f t="shared" si="117"/>
        <v>0</v>
      </c>
      <c r="AS237" s="512">
        <v>0.18</v>
      </c>
      <c r="AT237" s="523">
        <f t="shared" si="115"/>
        <v>5.616</v>
      </c>
      <c r="BC237" s="536"/>
      <c r="BD237" s="536"/>
      <c r="BE237" s="536"/>
      <c r="BF237" s="536"/>
      <c r="BG237" s="537"/>
      <c r="BH237" s="537"/>
      <c r="BJ237" s="538"/>
      <c r="BK237" s="538"/>
      <c r="BL237" s="539"/>
    </row>
    <row r="238" spans="1:64" s="535" customFormat="1" ht="20.25" customHeight="1">
      <c r="A238" s="742"/>
      <c r="B238" s="742"/>
      <c r="C238" s="742"/>
      <c r="D238" s="489">
        <v>2013</v>
      </c>
      <c r="E238" s="578">
        <f t="shared" si="110"/>
        <v>2</v>
      </c>
      <c r="F238" s="578"/>
      <c r="G238" s="492">
        <v>0</v>
      </c>
      <c r="H238" s="622"/>
      <c r="I238" s="578">
        <v>1.9</v>
      </c>
      <c r="J238" s="578"/>
      <c r="K238" s="569">
        <v>0.1</v>
      </c>
      <c r="L238" s="569"/>
      <c r="M238" s="569">
        <v>0</v>
      </c>
      <c r="N238" s="586"/>
      <c r="O238" s="569">
        <v>0</v>
      </c>
      <c r="P238" s="569"/>
      <c r="Q238" s="569">
        <v>0</v>
      </c>
      <c r="R238" s="569"/>
      <c r="S238" s="782"/>
      <c r="T238" s="782"/>
      <c r="U238" s="493">
        <f>AE238</f>
        <v>0</v>
      </c>
      <c r="V238" s="493"/>
      <c r="W238" s="577">
        <f t="shared" si="124"/>
        <v>0.216</v>
      </c>
      <c r="X238" s="577"/>
      <c r="Y238" s="577">
        <f>AT238</f>
        <v>0.216</v>
      </c>
      <c r="Z238" s="577"/>
      <c r="AA238" s="577">
        <f>AR238</f>
        <v>0</v>
      </c>
      <c r="AB238" s="577"/>
      <c r="AC238" s="577">
        <f>AQ238</f>
        <v>0</v>
      </c>
      <c r="AD238" s="622"/>
      <c r="AE238" s="512">
        <f t="shared" si="102"/>
        <v>0</v>
      </c>
      <c r="AF238" s="540">
        <v>0</v>
      </c>
      <c r="AG238" s="534"/>
      <c r="AH238" s="512">
        <v>36012</v>
      </c>
      <c r="AI238" s="512"/>
      <c r="AJ238" s="513">
        <v>106.23302983559877</v>
      </c>
      <c r="AK238" s="514">
        <v>105.1948604625895</v>
      </c>
      <c r="AL238" s="513">
        <v>104.86113485125321</v>
      </c>
      <c r="AM238" s="512">
        <v>12</v>
      </c>
      <c r="AN238" s="512">
        <v>1000000</v>
      </c>
      <c r="AO238" s="512">
        <v>0.12</v>
      </c>
      <c r="AP238" s="523">
        <f>AE238*AH238*AJ238%*AM238/AN238*AO238</f>
        <v>0</v>
      </c>
      <c r="AQ238" s="523">
        <f t="shared" si="116"/>
        <v>0</v>
      </c>
      <c r="AR238" s="523">
        <f t="shared" si="117"/>
        <v>0</v>
      </c>
      <c r="AS238" s="512">
        <v>0.18</v>
      </c>
      <c r="AT238" s="523">
        <f t="shared" si="115"/>
        <v>0.216</v>
      </c>
      <c r="BC238" s="536"/>
      <c r="BD238" s="536"/>
      <c r="BE238" s="536"/>
      <c r="BF238" s="536"/>
      <c r="BG238" s="537"/>
      <c r="BH238" s="537"/>
      <c r="BJ238" s="538"/>
      <c r="BK238" s="538"/>
      <c r="BL238" s="539"/>
    </row>
    <row r="239" spans="1:64" s="535" customFormat="1" ht="20.25" customHeight="1">
      <c r="A239" s="742"/>
      <c r="B239" s="742"/>
      <c r="C239" s="742"/>
      <c r="D239" s="489">
        <v>2014</v>
      </c>
      <c r="E239" s="578">
        <v>50</v>
      </c>
      <c r="F239" s="578">
        <v>11.9</v>
      </c>
      <c r="G239" s="569">
        <v>0</v>
      </c>
      <c r="H239" s="586"/>
      <c r="I239" s="578">
        <v>49</v>
      </c>
      <c r="J239" s="578"/>
      <c r="K239" s="569">
        <v>1</v>
      </c>
      <c r="L239" s="569"/>
      <c r="M239" s="569">
        <v>0</v>
      </c>
      <c r="N239" s="586">
        <v>11.9</v>
      </c>
      <c r="O239" s="569">
        <v>0</v>
      </c>
      <c r="P239" s="569"/>
      <c r="Q239" s="569">
        <v>0</v>
      </c>
      <c r="R239" s="569"/>
      <c r="S239" s="782"/>
      <c r="T239" s="782"/>
      <c r="U239" s="493">
        <f>AE239</f>
        <v>55</v>
      </c>
      <c r="V239" s="493"/>
      <c r="W239" s="577">
        <f t="shared" si="124"/>
        <v>8.400315633463187</v>
      </c>
      <c r="X239" s="577"/>
      <c r="Y239" s="577">
        <f>AT239</f>
        <v>5.3999999999999995</v>
      </c>
      <c r="Z239" s="577"/>
      <c r="AA239" s="577">
        <f>AR239</f>
        <v>1.6264711049003941</v>
      </c>
      <c r="AB239" s="577"/>
      <c r="AC239" s="577">
        <f>AQ239</f>
        <v>1.3738445285627936</v>
      </c>
      <c r="AD239" s="622"/>
      <c r="AE239" s="512">
        <f t="shared" si="102"/>
        <v>55</v>
      </c>
      <c r="AF239" s="540">
        <v>10</v>
      </c>
      <c r="AG239" s="534">
        <v>45</v>
      </c>
      <c r="AH239" s="512">
        <v>36012</v>
      </c>
      <c r="AI239" s="512"/>
      <c r="AJ239" s="513">
        <v>106.23302983559877</v>
      </c>
      <c r="AK239" s="514">
        <v>105.1948604625895</v>
      </c>
      <c r="AL239" s="513">
        <v>104.86113485125321</v>
      </c>
      <c r="AM239" s="512">
        <v>12</v>
      </c>
      <c r="AN239" s="512">
        <v>1000000</v>
      </c>
      <c r="AO239" s="512">
        <v>0.12</v>
      </c>
      <c r="AP239" s="523">
        <f>AE239*AH239*AK239%*AM239/AN239*AO239</f>
        <v>3.0003156334631877</v>
      </c>
      <c r="AQ239" s="523">
        <f t="shared" si="116"/>
        <v>1.3738445285627936</v>
      </c>
      <c r="AR239" s="523">
        <f t="shared" si="117"/>
        <v>1.6264711049003941</v>
      </c>
      <c r="AS239" s="512">
        <v>0.18</v>
      </c>
      <c r="AT239" s="523">
        <f t="shared" si="115"/>
        <v>5.3999999999999995</v>
      </c>
      <c r="BC239" s="536"/>
      <c r="BD239" s="536"/>
      <c r="BE239" s="536"/>
      <c r="BF239" s="536"/>
      <c r="BG239" s="537"/>
      <c r="BH239" s="537"/>
      <c r="BJ239" s="538"/>
      <c r="BK239" s="538"/>
      <c r="BL239" s="539"/>
    </row>
    <row r="240" spans="1:64" s="535" customFormat="1" ht="20.25" customHeight="1">
      <c r="A240" s="742"/>
      <c r="B240" s="742"/>
      <c r="C240" s="742"/>
      <c r="D240" s="489">
        <v>2015</v>
      </c>
      <c r="E240" s="578">
        <f t="shared" si="110"/>
        <v>0</v>
      </c>
      <c r="F240" s="578"/>
      <c r="G240" s="569">
        <v>0</v>
      </c>
      <c r="H240" s="586"/>
      <c r="I240" s="578">
        <v>0</v>
      </c>
      <c r="J240" s="578"/>
      <c r="K240" s="569">
        <v>0</v>
      </c>
      <c r="L240" s="569"/>
      <c r="M240" s="569">
        <v>0</v>
      </c>
      <c r="N240" s="586"/>
      <c r="O240" s="569">
        <v>0</v>
      </c>
      <c r="P240" s="569"/>
      <c r="Q240" s="569">
        <v>0</v>
      </c>
      <c r="R240" s="569"/>
      <c r="S240" s="782"/>
      <c r="T240" s="782"/>
      <c r="U240" s="493">
        <f>AE240</f>
        <v>0</v>
      </c>
      <c r="V240" s="493"/>
      <c r="W240" s="577">
        <f t="shared" si="124"/>
        <v>0</v>
      </c>
      <c r="X240" s="577"/>
      <c r="Y240" s="577">
        <f>AT240</f>
        <v>0</v>
      </c>
      <c r="Z240" s="577"/>
      <c r="AA240" s="577">
        <f>AR240</f>
        <v>0</v>
      </c>
      <c r="AB240" s="577"/>
      <c r="AC240" s="577">
        <f>AQ240</f>
        <v>0</v>
      </c>
      <c r="AD240" s="622"/>
      <c r="AE240" s="512">
        <f t="shared" si="102"/>
        <v>0</v>
      </c>
      <c r="AF240" s="540">
        <v>0</v>
      </c>
      <c r="AG240" s="534"/>
      <c r="AH240" s="512">
        <v>36012</v>
      </c>
      <c r="AI240" s="512"/>
      <c r="AJ240" s="513">
        <v>106.23302983559877</v>
      </c>
      <c r="AK240" s="514">
        <v>105.1948604625895</v>
      </c>
      <c r="AL240" s="513">
        <v>104.86113485125321</v>
      </c>
      <c r="AM240" s="512">
        <v>12</v>
      </c>
      <c r="AN240" s="512">
        <v>1000000</v>
      </c>
      <c r="AO240" s="512">
        <v>0.12</v>
      </c>
      <c r="AP240" s="523">
        <f>AE240*AH240*AL240%*AM240/AN240*AO240</f>
        <v>0</v>
      </c>
      <c r="AQ240" s="523">
        <f t="shared" si="116"/>
        <v>0</v>
      </c>
      <c r="AR240" s="523">
        <f t="shared" si="117"/>
        <v>0</v>
      </c>
      <c r="AS240" s="512">
        <v>0.18</v>
      </c>
      <c r="AT240" s="523">
        <f t="shared" si="115"/>
        <v>0</v>
      </c>
      <c r="BC240" s="536"/>
      <c r="BD240" s="536"/>
      <c r="BE240" s="536"/>
      <c r="BF240" s="536"/>
      <c r="BG240" s="537"/>
      <c r="BH240" s="537"/>
      <c r="BJ240" s="538"/>
      <c r="BK240" s="538"/>
      <c r="BL240" s="539"/>
    </row>
    <row r="241" spans="1:64" s="535" customFormat="1" ht="42.75" customHeight="1">
      <c r="A241" s="742">
        <v>8</v>
      </c>
      <c r="B241" s="742" t="s">
        <v>149</v>
      </c>
      <c r="C241" s="742" t="s">
        <v>853</v>
      </c>
      <c r="D241" s="489" t="s">
        <v>341</v>
      </c>
      <c r="E241" s="578">
        <f t="shared" si="110"/>
        <v>15</v>
      </c>
      <c r="F241" s="578"/>
      <c r="G241" s="569">
        <f aca="true" t="shared" si="125" ref="G241:Q241">SUM(G242:G244)</f>
        <v>0</v>
      </c>
      <c r="H241" s="586"/>
      <c r="I241" s="578">
        <f t="shared" si="125"/>
        <v>14.25</v>
      </c>
      <c r="J241" s="578"/>
      <c r="K241" s="569">
        <f>SUM(K242:K244)</f>
        <v>0.75</v>
      </c>
      <c r="L241" s="569"/>
      <c r="M241" s="569">
        <f t="shared" si="125"/>
        <v>0</v>
      </c>
      <c r="N241" s="586"/>
      <c r="O241" s="569">
        <f t="shared" si="125"/>
        <v>0</v>
      </c>
      <c r="P241" s="569"/>
      <c r="Q241" s="569">
        <f t="shared" si="125"/>
        <v>0</v>
      </c>
      <c r="R241" s="569"/>
      <c r="S241" s="782" t="s">
        <v>27</v>
      </c>
      <c r="T241" s="782" t="s">
        <v>307</v>
      </c>
      <c r="U241" s="493">
        <f>SUM(U242:U244)</f>
        <v>10</v>
      </c>
      <c r="V241" s="493"/>
      <c r="W241" s="577">
        <f t="shared" si="124"/>
        <v>2.1655119333569433</v>
      </c>
      <c r="X241" s="577"/>
      <c r="Y241" s="577">
        <f>SUM(Y242:Y244)</f>
        <v>1.6199999999999999</v>
      </c>
      <c r="Z241" s="577"/>
      <c r="AA241" s="577">
        <f>SUM(AA242:AA244)</f>
        <v>0.29572201907279905</v>
      </c>
      <c r="AB241" s="577"/>
      <c r="AC241" s="577">
        <f>SUM(AC242:AC244)</f>
        <v>0.24978991428414435</v>
      </c>
      <c r="AD241" s="622"/>
      <c r="AE241" s="512"/>
      <c r="AF241" s="520"/>
      <c r="AG241" s="541"/>
      <c r="AH241" s="512">
        <v>36012</v>
      </c>
      <c r="AI241" s="512"/>
      <c r="AJ241" s="513">
        <v>106.23302983559877</v>
      </c>
      <c r="AK241" s="514">
        <v>105.1948604625895</v>
      </c>
      <c r="AL241" s="513">
        <v>104.86113485125321</v>
      </c>
      <c r="AM241" s="512">
        <v>12</v>
      </c>
      <c r="AN241" s="512">
        <v>1000000</v>
      </c>
      <c r="AO241" s="512">
        <v>0.12</v>
      </c>
      <c r="AP241" s="523">
        <f>AE241*AH241*AJ241%*AM241/AN241*AO241</f>
        <v>0</v>
      </c>
      <c r="AQ241" s="523">
        <f t="shared" si="116"/>
        <v>0</v>
      </c>
      <c r="AR241" s="523">
        <f t="shared" si="117"/>
        <v>0</v>
      </c>
      <c r="AS241" s="512">
        <v>0.18</v>
      </c>
      <c r="AT241" s="523">
        <f t="shared" si="115"/>
        <v>1.6199999999999999</v>
      </c>
      <c r="BC241" s="536"/>
      <c r="BD241" s="536"/>
      <c r="BE241" s="536"/>
      <c r="BF241" s="536"/>
      <c r="BG241" s="537"/>
      <c r="BH241" s="537"/>
      <c r="BJ241" s="538"/>
      <c r="BK241" s="538"/>
      <c r="BL241" s="539"/>
    </row>
    <row r="242" spans="1:64" s="535" customFormat="1" ht="42.75" customHeight="1">
      <c r="A242" s="742"/>
      <c r="B242" s="742"/>
      <c r="C242" s="742"/>
      <c r="D242" s="489">
        <v>2013</v>
      </c>
      <c r="E242" s="578">
        <f t="shared" si="110"/>
        <v>0</v>
      </c>
      <c r="F242" s="578"/>
      <c r="G242" s="492">
        <v>0</v>
      </c>
      <c r="H242" s="622"/>
      <c r="I242" s="578">
        <v>0</v>
      </c>
      <c r="J242" s="578"/>
      <c r="K242" s="569">
        <v>0</v>
      </c>
      <c r="L242" s="569"/>
      <c r="M242" s="569">
        <v>0</v>
      </c>
      <c r="N242" s="586"/>
      <c r="O242" s="569">
        <v>0</v>
      </c>
      <c r="P242" s="569"/>
      <c r="Q242" s="569">
        <v>0</v>
      </c>
      <c r="R242" s="569"/>
      <c r="S242" s="782"/>
      <c r="T242" s="782"/>
      <c r="U242" s="493">
        <f>AE242</f>
        <v>0</v>
      </c>
      <c r="V242" s="493"/>
      <c r="W242" s="577">
        <f t="shared" si="124"/>
        <v>0</v>
      </c>
      <c r="X242" s="577"/>
      <c r="Y242" s="577">
        <f>AT242</f>
        <v>0</v>
      </c>
      <c r="Z242" s="577"/>
      <c r="AA242" s="577">
        <f>AR242</f>
        <v>0</v>
      </c>
      <c r="AB242" s="577"/>
      <c r="AC242" s="577">
        <f>AQ242</f>
        <v>0</v>
      </c>
      <c r="AD242" s="622"/>
      <c r="AE242" s="512">
        <v>0</v>
      </c>
      <c r="AF242" s="540">
        <v>0</v>
      </c>
      <c r="AG242" s="534"/>
      <c r="AH242" s="512">
        <v>36012</v>
      </c>
      <c r="AI242" s="512"/>
      <c r="AJ242" s="513">
        <v>106.23302983559877</v>
      </c>
      <c r="AK242" s="514">
        <v>105.1948604625895</v>
      </c>
      <c r="AL242" s="513">
        <v>104.86113485125321</v>
      </c>
      <c r="AM242" s="512">
        <v>12</v>
      </c>
      <c r="AN242" s="512">
        <v>1000000</v>
      </c>
      <c r="AO242" s="512">
        <v>0.12</v>
      </c>
      <c r="AP242" s="523">
        <f>AE242*AH242*AJ242%*AM242/AN242*AO242</f>
        <v>0</v>
      </c>
      <c r="AQ242" s="523">
        <f t="shared" si="116"/>
        <v>0</v>
      </c>
      <c r="AR242" s="523">
        <f t="shared" si="117"/>
        <v>0</v>
      </c>
      <c r="AS242" s="512">
        <v>0.18</v>
      </c>
      <c r="AT242" s="523">
        <f t="shared" si="115"/>
        <v>0</v>
      </c>
      <c r="BC242" s="536"/>
      <c r="BD242" s="536"/>
      <c r="BE242" s="536"/>
      <c r="BF242" s="536"/>
      <c r="BG242" s="537"/>
      <c r="BH242" s="537"/>
      <c r="BJ242" s="538"/>
      <c r="BK242" s="538"/>
      <c r="BL242" s="539"/>
    </row>
    <row r="243" spans="1:64" s="535" customFormat="1" ht="42.75" customHeight="1">
      <c r="A243" s="742"/>
      <c r="B243" s="742"/>
      <c r="C243" s="742"/>
      <c r="D243" s="489">
        <v>2014</v>
      </c>
      <c r="E243" s="578">
        <f t="shared" si="110"/>
        <v>15</v>
      </c>
      <c r="F243" s="578"/>
      <c r="G243" s="569">
        <v>0</v>
      </c>
      <c r="H243" s="586"/>
      <c r="I243" s="578">
        <v>14.25</v>
      </c>
      <c r="J243" s="578"/>
      <c r="K243" s="569">
        <v>0.75</v>
      </c>
      <c r="L243" s="569"/>
      <c r="M243" s="569">
        <v>0</v>
      </c>
      <c r="N243" s="586"/>
      <c r="O243" s="569">
        <v>0</v>
      </c>
      <c r="P243" s="569"/>
      <c r="Q243" s="569">
        <v>0</v>
      </c>
      <c r="R243" s="569"/>
      <c r="S243" s="782"/>
      <c r="T243" s="782"/>
      <c r="U243" s="493">
        <f>AE243</f>
        <v>10</v>
      </c>
      <c r="V243" s="493"/>
      <c r="W243" s="577">
        <f t="shared" si="124"/>
        <v>2.1655119333569433</v>
      </c>
      <c r="X243" s="577"/>
      <c r="Y243" s="577">
        <f>AT243</f>
        <v>1.6199999999999999</v>
      </c>
      <c r="Z243" s="577"/>
      <c r="AA243" s="577">
        <f>AR243</f>
        <v>0.29572201907279905</v>
      </c>
      <c r="AB243" s="577"/>
      <c r="AC243" s="577">
        <f>AQ243</f>
        <v>0.24978991428414435</v>
      </c>
      <c r="AD243" s="622"/>
      <c r="AE243" s="512">
        <v>10</v>
      </c>
      <c r="AF243" s="540">
        <v>10</v>
      </c>
      <c r="AG243" s="534"/>
      <c r="AH243" s="512">
        <v>36012</v>
      </c>
      <c r="AI243" s="512"/>
      <c r="AJ243" s="513">
        <v>106.23302983559877</v>
      </c>
      <c r="AK243" s="514">
        <v>105.1948604625895</v>
      </c>
      <c r="AL243" s="513">
        <v>104.86113485125321</v>
      </c>
      <c r="AM243" s="512">
        <v>12</v>
      </c>
      <c r="AN243" s="512">
        <v>1000000</v>
      </c>
      <c r="AO243" s="512">
        <v>0.12</v>
      </c>
      <c r="AP243" s="523">
        <f>AE243*AH243*AK243%*AM243/AN243*AO243</f>
        <v>0.5455119333569434</v>
      </c>
      <c r="AQ243" s="523">
        <f t="shared" si="116"/>
        <v>0.24978991428414435</v>
      </c>
      <c r="AR243" s="523">
        <f t="shared" si="117"/>
        <v>0.29572201907279905</v>
      </c>
      <c r="AS243" s="512">
        <v>0.18</v>
      </c>
      <c r="AT243" s="523">
        <f t="shared" si="115"/>
        <v>1.6199999999999999</v>
      </c>
      <c r="BC243" s="536"/>
      <c r="BD243" s="536"/>
      <c r="BE243" s="536"/>
      <c r="BF243" s="536"/>
      <c r="BG243" s="537"/>
      <c r="BH243" s="537"/>
      <c r="BJ243" s="538"/>
      <c r="BK243" s="538"/>
      <c r="BL243" s="539"/>
    </row>
    <row r="244" spans="1:64" s="535" customFormat="1" ht="42.75" customHeight="1">
      <c r="A244" s="742"/>
      <c r="B244" s="742"/>
      <c r="C244" s="742"/>
      <c r="D244" s="489">
        <v>2015</v>
      </c>
      <c r="E244" s="578">
        <f t="shared" si="110"/>
        <v>0</v>
      </c>
      <c r="F244" s="578">
        <v>0</v>
      </c>
      <c r="G244" s="569">
        <v>0</v>
      </c>
      <c r="H244" s="586"/>
      <c r="I244" s="578">
        <v>0</v>
      </c>
      <c r="J244" s="578"/>
      <c r="K244" s="569">
        <v>0</v>
      </c>
      <c r="L244" s="569"/>
      <c r="M244" s="569">
        <v>0</v>
      </c>
      <c r="N244" s="586"/>
      <c r="O244" s="569">
        <v>0</v>
      </c>
      <c r="P244" s="569"/>
      <c r="Q244" s="569">
        <v>0</v>
      </c>
      <c r="R244" s="569"/>
      <c r="S244" s="782"/>
      <c r="T244" s="782"/>
      <c r="U244" s="493">
        <f>AE244</f>
        <v>0</v>
      </c>
      <c r="V244" s="493"/>
      <c r="W244" s="577">
        <f t="shared" si="124"/>
        <v>0</v>
      </c>
      <c r="X244" s="577"/>
      <c r="Y244" s="577">
        <f>AT244</f>
        <v>0</v>
      </c>
      <c r="Z244" s="577"/>
      <c r="AA244" s="577">
        <f>AR244</f>
        <v>0</v>
      </c>
      <c r="AB244" s="577"/>
      <c r="AC244" s="577">
        <f>AQ244</f>
        <v>0</v>
      </c>
      <c r="AD244" s="622"/>
      <c r="AE244" s="512">
        <f t="shared" si="102"/>
        <v>0</v>
      </c>
      <c r="AF244" s="540">
        <v>0</v>
      </c>
      <c r="AG244" s="534"/>
      <c r="AH244" s="512">
        <v>36012</v>
      </c>
      <c r="AI244" s="512"/>
      <c r="AJ244" s="513">
        <v>106.23302983559877</v>
      </c>
      <c r="AK244" s="514">
        <v>105.1948604625895</v>
      </c>
      <c r="AL244" s="513">
        <v>104.86113485125321</v>
      </c>
      <c r="AM244" s="512">
        <v>12</v>
      </c>
      <c r="AN244" s="512">
        <v>1000000</v>
      </c>
      <c r="AO244" s="512">
        <v>0.12</v>
      </c>
      <c r="AP244" s="523">
        <f>AE244*AH244*AL244%*AM244/AN244*AO244</f>
        <v>0</v>
      </c>
      <c r="AQ244" s="523">
        <f t="shared" si="116"/>
        <v>0</v>
      </c>
      <c r="AR244" s="523">
        <f t="shared" si="117"/>
        <v>0</v>
      </c>
      <c r="AS244" s="512">
        <v>0.18</v>
      </c>
      <c r="AT244" s="523">
        <f t="shared" si="115"/>
        <v>0</v>
      </c>
      <c r="BC244" s="536"/>
      <c r="BD244" s="536"/>
      <c r="BE244" s="536"/>
      <c r="BF244" s="536"/>
      <c r="BG244" s="537"/>
      <c r="BH244" s="537"/>
      <c r="BJ244" s="538"/>
      <c r="BK244" s="538"/>
      <c r="BL244" s="539"/>
    </row>
    <row r="245" spans="1:64" s="535" customFormat="1" ht="32.25" customHeight="1">
      <c r="A245" s="742">
        <v>9</v>
      </c>
      <c r="B245" s="742" t="s">
        <v>664</v>
      </c>
      <c r="C245" s="742" t="s">
        <v>665</v>
      </c>
      <c r="D245" s="489" t="s">
        <v>273</v>
      </c>
      <c r="E245" s="578">
        <f t="shared" si="110"/>
        <v>11.5</v>
      </c>
      <c r="F245" s="578"/>
      <c r="G245" s="569">
        <f aca="true" t="shared" si="126" ref="G245:Q245">SUM(G246:G248)</f>
        <v>0</v>
      </c>
      <c r="H245" s="586"/>
      <c r="I245" s="578">
        <f t="shared" si="126"/>
        <v>0</v>
      </c>
      <c r="J245" s="578"/>
      <c r="K245" s="569">
        <f>SUM(K246:K248)</f>
        <v>5.75</v>
      </c>
      <c r="L245" s="569"/>
      <c r="M245" s="569">
        <f t="shared" si="126"/>
        <v>5.75</v>
      </c>
      <c r="N245" s="586"/>
      <c r="O245" s="569">
        <f t="shared" si="126"/>
        <v>0</v>
      </c>
      <c r="P245" s="569"/>
      <c r="Q245" s="569">
        <f t="shared" si="126"/>
        <v>0</v>
      </c>
      <c r="R245" s="569"/>
      <c r="S245" s="782"/>
      <c r="T245" s="782"/>
      <c r="U245" s="579">
        <f>SUM(U246:U248)</f>
        <v>0</v>
      </c>
      <c r="V245" s="579"/>
      <c r="W245" s="577">
        <f aca="true" t="shared" si="127" ref="W245:W252">SUM(Y245:AC245)</f>
        <v>1.3931999999999998</v>
      </c>
      <c r="X245" s="577"/>
      <c r="Y245" s="577">
        <f>SUM(Y246:Y248)</f>
        <v>1.3931999999999998</v>
      </c>
      <c r="Z245" s="577"/>
      <c r="AA245" s="577">
        <f>SUM(AA246:AA248)</f>
        <v>0</v>
      </c>
      <c r="AB245" s="577"/>
      <c r="AC245" s="577">
        <f>SUM(AC246:AC248)</f>
        <v>0</v>
      </c>
      <c r="AD245" s="622"/>
      <c r="AE245" s="541"/>
      <c r="AF245" s="541"/>
      <c r="AG245" s="541"/>
      <c r="AH245" s="512">
        <v>36012</v>
      </c>
      <c r="AI245" s="512"/>
      <c r="AJ245" s="513">
        <v>106.23302983559877</v>
      </c>
      <c r="AK245" s="514">
        <v>105.1948604625895</v>
      </c>
      <c r="AL245" s="513">
        <v>104.86113485125321</v>
      </c>
      <c r="AM245" s="512">
        <v>12</v>
      </c>
      <c r="AN245" s="512">
        <v>1000000</v>
      </c>
      <c r="AO245" s="512">
        <v>0.12</v>
      </c>
      <c r="AP245" s="523">
        <f>AE245*AH245*AJ245%*AM245/AN245*AO245</f>
        <v>0</v>
      </c>
      <c r="AQ245" s="523">
        <f t="shared" si="116"/>
        <v>0</v>
      </c>
      <c r="AR245" s="523">
        <f t="shared" si="117"/>
        <v>0</v>
      </c>
      <c r="AS245" s="512">
        <v>0.18</v>
      </c>
      <c r="AT245" s="523">
        <f t="shared" si="115"/>
        <v>1.2419999999999998</v>
      </c>
      <c r="BC245" s="536"/>
      <c r="BD245" s="536"/>
      <c r="BE245" s="536"/>
      <c r="BF245" s="536"/>
      <c r="BG245" s="537"/>
      <c r="BH245" s="537"/>
      <c r="BJ245" s="538"/>
      <c r="BK245" s="538"/>
      <c r="BL245" s="539"/>
    </row>
    <row r="246" spans="1:64" s="535" customFormat="1" ht="32.25" customHeight="1">
      <c r="A246" s="742"/>
      <c r="B246" s="742"/>
      <c r="C246" s="742"/>
      <c r="D246" s="489">
        <v>2013</v>
      </c>
      <c r="E246" s="578">
        <f>G246+I246+K246+M246+O246+Q246</f>
        <v>11.5</v>
      </c>
      <c r="F246" s="578">
        <v>2.21</v>
      </c>
      <c r="G246" s="492">
        <v>0</v>
      </c>
      <c r="H246" s="622"/>
      <c r="I246" s="578">
        <v>0</v>
      </c>
      <c r="J246" s="578"/>
      <c r="K246" s="569">
        <v>5.75</v>
      </c>
      <c r="L246" s="569">
        <v>2.2</v>
      </c>
      <c r="M246" s="569">
        <v>5.75</v>
      </c>
      <c r="N246" s="586"/>
      <c r="O246" s="569">
        <f>SUM(O247:O253)</f>
        <v>0</v>
      </c>
      <c r="P246" s="569"/>
      <c r="Q246" s="569">
        <v>0</v>
      </c>
      <c r="R246" s="569"/>
      <c r="S246" s="782"/>
      <c r="T246" s="782"/>
      <c r="U246" s="493">
        <f>AE246</f>
        <v>0</v>
      </c>
      <c r="V246" s="493"/>
      <c r="W246" s="577">
        <f t="shared" si="127"/>
        <v>1.2419999999999998</v>
      </c>
      <c r="X246" s="577"/>
      <c r="Y246" s="577">
        <f>AT246</f>
        <v>1.2419999999999998</v>
      </c>
      <c r="Z246" s="577"/>
      <c r="AA246" s="577">
        <f>AR246</f>
        <v>0</v>
      </c>
      <c r="AB246" s="577"/>
      <c r="AC246" s="577">
        <f>AQ246</f>
        <v>0</v>
      </c>
      <c r="AD246" s="622"/>
      <c r="AE246" s="512">
        <f t="shared" si="102"/>
        <v>0</v>
      </c>
      <c r="AF246" s="540">
        <v>0</v>
      </c>
      <c r="AG246" s="534"/>
      <c r="AH246" s="512">
        <v>36012</v>
      </c>
      <c r="AI246" s="512"/>
      <c r="AJ246" s="513">
        <v>106.23302983559877</v>
      </c>
      <c r="AK246" s="514">
        <v>105.1948604625895</v>
      </c>
      <c r="AL246" s="513">
        <v>104.86113485125321</v>
      </c>
      <c r="AM246" s="512">
        <v>12</v>
      </c>
      <c r="AN246" s="512">
        <v>1000000</v>
      </c>
      <c r="AO246" s="512">
        <v>0.12</v>
      </c>
      <c r="AP246" s="523">
        <f>AE246*AH246*AJ246%*AM246/AN246*AO246</f>
        <v>0</v>
      </c>
      <c r="AQ246" s="523">
        <f t="shared" si="116"/>
        <v>0</v>
      </c>
      <c r="AR246" s="523">
        <f t="shared" si="117"/>
        <v>0</v>
      </c>
      <c r="AS246" s="512">
        <v>0.18</v>
      </c>
      <c r="AT246" s="523">
        <f t="shared" si="115"/>
        <v>1.2419999999999998</v>
      </c>
      <c r="BC246" s="536"/>
      <c r="BD246" s="536"/>
      <c r="BE246" s="536"/>
      <c r="BF246" s="536"/>
      <c r="BG246" s="537"/>
      <c r="BH246" s="537"/>
      <c r="BJ246" s="538"/>
      <c r="BK246" s="538"/>
      <c r="BL246" s="539"/>
    </row>
    <row r="247" spans="1:64" s="535" customFormat="1" ht="32.25" customHeight="1">
      <c r="A247" s="742"/>
      <c r="B247" s="742"/>
      <c r="C247" s="742"/>
      <c r="D247" s="489">
        <v>2014</v>
      </c>
      <c r="E247" s="578">
        <v>0</v>
      </c>
      <c r="F247" s="578">
        <v>0.1</v>
      </c>
      <c r="G247" s="569">
        <v>0</v>
      </c>
      <c r="H247" s="586"/>
      <c r="I247" s="578">
        <v>0</v>
      </c>
      <c r="J247" s="578"/>
      <c r="K247" s="569">
        <v>0</v>
      </c>
      <c r="L247" s="569">
        <v>0.1</v>
      </c>
      <c r="M247" s="569">
        <v>0</v>
      </c>
      <c r="N247" s="586"/>
      <c r="O247" s="569">
        <f>SUM(O248:O254)</f>
        <v>0</v>
      </c>
      <c r="P247" s="569"/>
      <c r="Q247" s="569">
        <v>0</v>
      </c>
      <c r="R247" s="569"/>
      <c r="S247" s="782"/>
      <c r="T247" s="782"/>
      <c r="U247" s="493">
        <f>AE247</f>
        <v>0</v>
      </c>
      <c r="V247" s="493"/>
      <c r="W247" s="577">
        <f t="shared" si="127"/>
        <v>0.018</v>
      </c>
      <c r="X247" s="577">
        <v>0.018</v>
      </c>
      <c r="Y247" s="577">
        <f>AT247</f>
        <v>0</v>
      </c>
      <c r="Z247" s="577">
        <v>0.018</v>
      </c>
      <c r="AA247" s="577">
        <f>AR247</f>
        <v>0</v>
      </c>
      <c r="AB247" s="577"/>
      <c r="AC247" s="577">
        <f>AQ247</f>
        <v>0</v>
      </c>
      <c r="AD247" s="622"/>
      <c r="AE247" s="512">
        <f t="shared" si="102"/>
        <v>0</v>
      </c>
      <c r="AF247" s="540">
        <v>0</v>
      </c>
      <c r="AG247" s="534"/>
      <c r="AH247" s="512">
        <v>36012</v>
      </c>
      <c r="AI247" s="512"/>
      <c r="AJ247" s="513">
        <v>106.23302983559877</v>
      </c>
      <c r="AK247" s="514">
        <v>105.1948604625895</v>
      </c>
      <c r="AL247" s="513">
        <v>104.86113485125321</v>
      </c>
      <c r="AM247" s="512">
        <v>12</v>
      </c>
      <c r="AN247" s="512">
        <v>1000000</v>
      </c>
      <c r="AO247" s="512">
        <v>0.12</v>
      </c>
      <c r="AP247" s="523">
        <f>AE247*AH247*AK247%*AM247/AN247*AO247</f>
        <v>0</v>
      </c>
      <c r="AQ247" s="523">
        <f t="shared" si="116"/>
        <v>0</v>
      </c>
      <c r="AR247" s="523">
        <f t="shared" si="117"/>
        <v>0</v>
      </c>
      <c r="AS247" s="512">
        <v>0.18</v>
      </c>
      <c r="AT247" s="523">
        <f t="shared" si="115"/>
        <v>0</v>
      </c>
      <c r="BC247" s="536"/>
      <c r="BD247" s="536"/>
      <c r="BE247" s="536"/>
      <c r="BF247" s="536"/>
      <c r="BG247" s="537"/>
      <c r="BH247" s="537"/>
      <c r="BJ247" s="538"/>
      <c r="BK247" s="538"/>
      <c r="BL247" s="539"/>
    </row>
    <row r="248" spans="1:64" s="535" customFormat="1" ht="32.25" customHeight="1">
      <c r="A248" s="742"/>
      <c r="B248" s="742"/>
      <c r="C248" s="742"/>
      <c r="D248" s="633">
        <v>2015</v>
      </c>
      <c r="E248" s="650">
        <f t="shared" si="110"/>
        <v>1.4</v>
      </c>
      <c r="F248" s="650">
        <v>1.44</v>
      </c>
      <c r="G248" s="634">
        <v>0</v>
      </c>
      <c r="H248" s="667"/>
      <c r="I248" s="650">
        <v>0</v>
      </c>
      <c r="J248" s="650"/>
      <c r="K248" s="634">
        <v>0</v>
      </c>
      <c r="L248" s="634">
        <v>1.4</v>
      </c>
      <c r="M248" s="634">
        <v>0</v>
      </c>
      <c r="N248" s="667"/>
      <c r="O248" s="634">
        <f>SUM(O253:O255)</f>
        <v>0</v>
      </c>
      <c r="P248" s="634"/>
      <c r="Q248" s="634">
        <v>0</v>
      </c>
      <c r="R248" s="634"/>
      <c r="S248" s="782"/>
      <c r="T248" s="782"/>
      <c r="U248" s="493">
        <f>AE248</f>
        <v>0</v>
      </c>
      <c r="V248" s="493"/>
      <c r="W248" s="577">
        <f t="shared" si="127"/>
        <v>0.1512</v>
      </c>
      <c r="X248" s="577"/>
      <c r="Y248" s="577">
        <f>AT248</f>
        <v>0.1512</v>
      </c>
      <c r="Z248" s="577"/>
      <c r="AA248" s="577">
        <f>AR248</f>
        <v>0</v>
      </c>
      <c r="AB248" s="577"/>
      <c r="AC248" s="577">
        <f>AQ248</f>
        <v>0</v>
      </c>
      <c r="AD248" s="622"/>
      <c r="AE248" s="512">
        <f t="shared" si="102"/>
        <v>0</v>
      </c>
      <c r="AF248" s="540">
        <v>0</v>
      </c>
      <c r="AG248" s="534"/>
      <c r="AH248" s="512">
        <v>36012</v>
      </c>
      <c r="AI248" s="512"/>
      <c r="AJ248" s="513">
        <v>106.23302983559877</v>
      </c>
      <c r="AK248" s="514">
        <v>105.1948604625895</v>
      </c>
      <c r="AL248" s="513">
        <v>104.86113485125321</v>
      </c>
      <c r="AM248" s="512">
        <v>12</v>
      </c>
      <c r="AN248" s="512">
        <v>1000000</v>
      </c>
      <c r="AO248" s="512">
        <v>0.12</v>
      </c>
      <c r="AP248" s="523">
        <f>AE248*AH248*AL248%*AM248/AN248*AO248</f>
        <v>0</v>
      </c>
      <c r="AQ248" s="523">
        <f t="shared" si="116"/>
        <v>0</v>
      </c>
      <c r="AR248" s="523">
        <f t="shared" si="117"/>
        <v>0</v>
      </c>
      <c r="AS248" s="512">
        <v>0.18</v>
      </c>
      <c r="AT248" s="523">
        <f t="shared" si="115"/>
        <v>0.1512</v>
      </c>
      <c r="BC248" s="536"/>
      <c r="BD248" s="536"/>
      <c r="BE248" s="536"/>
      <c r="BF248" s="536"/>
      <c r="BG248" s="537"/>
      <c r="BH248" s="537"/>
      <c r="BJ248" s="538"/>
      <c r="BK248" s="538"/>
      <c r="BL248" s="539"/>
    </row>
    <row r="249" spans="1:46" ht="27.75" customHeight="1">
      <c r="A249" s="791">
        <v>10</v>
      </c>
      <c r="B249" s="768" t="s">
        <v>673</v>
      </c>
      <c r="C249" s="742" t="s">
        <v>854</v>
      </c>
      <c r="D249" s="489" t="s">
        <v>341</v>
      </c>
      <c r="E249" s="578">
        <f t="shared" si="110"/>
        <v>252.5</v>
      </c>
      <c r="F249" s="578"/>
      <c r="G249" s="569">
        <f>SUM(G250:G252)</f>
        <v>0</v>
      </c>
      <c r="H249" s="586"/>
      <c r="I249" s="578">
        <f>I250+I251+I252</f>
        <v>250</v>
      </c>
      <c r="J249" s="578"/>
      <c r="K249" s="569">
        <f>K250+K251+K252</f>
        <v>2.5</v>
      </c>
      <c r="L249" s="569"/>
      <c r="M249" s="569">
        <f>SUM(M250:M252)</f>
        <v>0</v>
      </c>
      <c r="N249" s="586"/>
      <c r="O249" s="569">
        <f>SUM(O250:O252)</f>
        <v>0</v>
      </c>
      <c r="P249" s="569"/>
      <c r="Q249" s="569">
        <f>SUM(Q250:Q252)</f>
        <v>0</v>
      </c>
      <c r="R249" s="581"/>
      <c r="S249" s="768"/>
      <c r="T249" s="779" t="s">
        <v>672</v>
      </c>
      <c r="U249" s="493">
        <v>0</v>
      </c>
      <c r="V249" s="493"/>
      <c r="W249" s="577">
        <f t="shared" si="127"/>
        <v>27.269999999999996</v>
      </c>
      <c r="X249" s="577"/>
      <c r="Y249" s="577">
        <f>SUM(Y250:Y252)</f>
        <v>27.269999999999996</v>
      </c>
      <c r="Z249" s="577"/>
      <c r="AA249" s="577">
        <f>SUM(AA250:AA252)</f>
        <v>0</v>
      </c>
      <c r="AB249" s="577"/>
      <c r="AC249" s="577">
        <f>SUM(AC250:AC252)</f>
        <v>0</v>
      </c>
      <c r="AD249" s="700"/>
      <c r="AF249" s="520"/>
      <c r="AH249" s="512">
        <v>36012</v>
      </c>
      <c r="AJ249" s="513">
        <v>106.23302983559877</v>
      </c>
      <c r="AK249" s="514">
        <v>105.1948604625895</v>
      </c>
      <c r="AL249" s="513">
        <v>104.86113485125321</v>
      </c>
      <c r="AM249" s="512">
        <v>12</v>
      </c>
      <c r="AN249" s="512">
        <v>1000000</v>
      </c>
      <c r="AO249" s="512">
        <v>0.12</v>
      </c>
      <c r="AP249" s="523">
        <f>AE249*AH249*AJ249%*AM249/AN249*AO249</f>
        <v>0</v>
      </c>
      <c r="AQ249" s="523">
        <f t="shared" si="116"/>
        <v>0</v>
      </c>
      <c r="AR249" s="523">
        <f t="shared" si="117"/>
        <v>0</v>
      </c>
      <c r="AS249" s="512">
        <v>0.18</v>
      </c>
      <c r="AT249" s="523">
        <f t="shared" si="115"/>
        <v>27.27</v>
      </c>
    </row>
    <row r="250" spans="1:46" ht="27.75" customHeight="1">
      <c r="A250" s="792"/>
      <c r="B250" s="769"/>
      <c r="C250" s="742"/>
      <c r="D250" s="489">
        <v>2013</v>
      </c>
      <c r="E250" s="578">
        <f>G250+I250+K250</f>
        <v>52.5</v>
      </c>
      <c r="F250" s="578"/>
      <c r="G250" s="492">
        <v>0</v>
      </c>
      <c r="H250" s="622"/>
      <c r="I250" s="578">
        <v>50</v>
      </c>
      <c r="J250" s="578"/>
      <c r="K250" s="569">
        <v>2.5</v>
      </c>
      <c r="L250" s="569"/>
      <c r="M250" s="569">
        <v>0</v>
      </c>
      <c r="N250" s="586"/>
      <c r="O250" s="569">
        <v>0</v>
      </c>
      <c r="P250" s="569"/>
      <c r="Q250" s="569">
        <v>0</v>
      </c>
      <c r="R250" s="582"/>
      <c r="S250" s="769"/>
      <c r="T250" s="780"/>
      <c r="U250" s="493">
        <f>AE250</f>
        <v>0</v>
      </c>
      <c r="V250" s="493"/>
      <c r="W250" s="577">
        <f t="shared" si="127"/>
        <v>5.67</v>
      </c>
      <c r="X250" s="577"/>
      <c r="Y250" s="577">
        <f>AT250</f>
        <v>5.67</v>
      </c>
      <c r="Z250" s="577"/>
      <c r="AA250" s="577">
        <f>AR250</f>
        <v>0</v>
      </c>
      <c r="AB250" s="577"/>
      <c r="AC250" s="577">
        <f>AQ250</f>
        <v>0</v>
      </c>
      <c r="AD250" s="700"/>
      <c r="AE250" s="512">
        <f>AF250+AG250</f>
        <v>0</v>
      </c>
      <c r="AF250" s="520">
        <v>0</v>
      </c>
      <c r="AH250" s="512">
        <v>36012</v>
      </c>
      <c r="AJ250" s="513">
        <v>106.23302983559877</v>
      </c>
      <c r="AK250" s="514">
        <v>105.1948604625895</v>
      </c>
      <c r="AL250" s="513">
        <v>104.86113485125321</v>
      </c>
      <c r="AM250" s="512">
        <v>12</v>
      </c>
      <c r="AN250" s="512">
        <v>1000000</v>
      </c>
      <c r="AO250" s="512">
        <v>0.12</v>
      </c>
      <c r="AP250" s="523">
        <f>AE250*AH250*AJ250%*AM250/AN250*AO250</f>
        <v>0</v>
      </c>
      <c r="AQ250" s="523">
        <f t="shared" si="116"/>
        <v>0</v>
      </c>
      <c r="AR250" s="523">
        <f t="shared" si="117"/>
        <v>0</v>
      </c>
      <c r="AS250" s="512">
        <v>0.18</v>
      </c>
      <c r="AT250" s="523">
        <f t="shared" si="115"/>
        <v>5.67</v>
      </c>
    </row>
    <row r="251" spans="1:46" ht="27.75" customHeight="1">
      <c r="A251" s="792"/>
      <c r="B251" s="769"/>
      <c r="C251" s="742"/>
      <c r="D251" s="489">
        <v>2014</v>
      </c>
      <c r="E251" s="578">
        <f>SUM(G251:Q251)</f>
        <v>100</v>
      </c>
      <c r="F251" s="578"/>
      <c r="G251" s="569">
        <v>0</v>
      </c>
      <c r="H251" s="586"/>
      <c r="I251" s="578">
        <v>100</v>
      </c>
      <c r="J251" s="578"/>
      <c r="K251" s="569">
        <v>0</v>
      </c>
      <c r="L251" s="569"/>
      <c r="M251" s="569">
        <v>0</v>
      </c>
      <c r="N251" s="586"/>
      <c r="O251" s="569">
        <v>0</v>
      </c>
      <c r="P251" s="569"/>
      <c r="Q251" s="569">
        <v>0</v>
      </c>
      <c r="R251" s="582"/>
      <c r="S251" s="769"/>
      <c r="T251" s="780"/>
      <c r="U251" s="493">
        <f>AE251</f>
        <v>0</v>
      </c>
      <c r="V251" s="493"/>
      <c r="W251" s="577">
        <f t="shared" si="127"/>
        <v>10.799999999999999</v>
      </c>
      <c r="X251" s="577"/>
      <c r="Y251" s="577">
        <f>AT251</f>
        <v>10.799999999999999</v>
      </c>
      <c r="Z251" s="577"/>
      <c r="AA251" s="577">
        <f>AR251</f>
        <v>0</v>
      </c>
      <c r="AB251" s="577"/>
      <c r="AC251" s="577">
        <f>AQ251</f>
        <v>0</v>
      </c>
      <c r="AD251" s="700"/>
      <c r="AE251" s="512">
        <f>AF251+AG251</f>
        <v>0</v>
      </c>
      <c r="AF251" s="520">
        <v>0</v>
      </c>
      <c r="AH251" s="512">
        <v>36012</v>
      </c>
      <c r="AJ251" s="513">
        <v>106.23302983559877</v>
      </c>
      <c r="AK251" s="514">
        <v>105.1948604625895</v>
      </c>
      <c r="AL251" s="513">
        <v>104.86113485125321</v>
      </c>
      <c r="AM251" s="512">
        <v>12</v>
      </c>
      <c r="AN251" s="512">
        <v>1000000</v>
      </c>
      <c r="AO251" s="512">
        <v>0.12</v>
      </c>
      <c r="AP251" s="523">
        <f>AE251*AH251*AK251%*AM251/AN251*AO251</f>
        <v>0</v>
      </c>
      <c r="AQ251" s="523">
        <f t="shared" si="116"/>
        <v>0</v>
      </c>
      <c r="AR251" s="523">
        <f t="shared" si="117"/>
        <v>0</v>
      </c>
      <c r="AS251" s="512">
        <v>0.18</v>
      </c>
      <c r="AT251" s="523">
        <f t="shared" si="115"/>
        <v>10.799999999999999</v>
      </c>
    </row>
    <row r="252" spans="1:46" ht="27.75" customHeight="1">
      <c r="A252" s="793"/>
      <c r="B252" s="770"/>
      <c r="C252" s="742"/>
      <c r="D252" s="489">
        <v>2015</v>
      </c>
      <c r="E252" s="578">
        <f>SUM(G252:Q252)</f>
        <v>100</v>
      </c>
      <c r="F252" s="578"/>
      <c r="G252" s="569">
        <v>0</v>
      </c>
      <c r="H252" s="586"/>
      <c r="I252" s="578">
        <v>100</v>
      </c>
      <c r="J252" s="578"/>
      <c r="K252" s="569">
        <v>0</v>
      </c>
      <c r="L252" s="569"/>
      <c r="M252" s="569">
        <v>0</v>
      </c>
      <c r="N252" s="586"/>
      <c r="O252" s="569">
        <v>0</v>
      </c>
      <c r="P252" s="569"/>
      <c r="Q252" s="569">
        <v>0</v>
      </c>
      <c r="R252" s="583"/>
      <c r="S252" s="770"/>
      <c r="T252" s="781"/>
      <c r="U252" s="493">
        <f>AE252</f>
        <v>0</v>
      </c>
      <c r="V252" s="493"/>
      <c r="W252" s="577">
        <f t="shared" si="127"/>
        <v>10.799999999999999</v>
      </c>
      <c r="X252" s="577"/>
      <c r="Y252" s="577">
        <f>AT252</f>
        <v>10.799999999999999</v>
      </c>
      <c r="Z252" s="577"/>
      <c r="AA252" s="577">
        <f>AR252</f>
        <v>0</v>
      </c>
      <c r="AB252" s="577"/>
      <c r="AC252" s="577">
        <f>AQ252</f>
        <v>0</v>
      </c>
      <c r="AD252" s="700"/>
      <c r="AE252" s="512">
        <f>AF252+AG252</f>
        <v>0</v>
      </c>
      <c r="AF252" s="520">
        <v>0</v>
      </c>
      <c r="AH252" s="512">
        <v>36012</v>
      </c>
      <c r="AJ252" s="513">
        <v>106.23302983559877</v>
      </c>
      <c r="AK252" s="514">
        <v>105.1948604625895</v>
      </c>
      <c r="AL252" s="513">
        <v>104.86113485125321</v>
      </c>
      <c r="AM252" s="512">
        <v>12</v>
      </c>
      <c r="AN252" s="512">
        <v>1000000</v>
      </c>
      <c r="AO252" s="512">
        <v>0.12</v>
      </c>
      <c r="AP252" s="523">
        <f>AE252*AH252*AL252%*AM252/AN252*AO252</f>
        <v>0</v>
      </c>
      <c r="AQ252" s="523">
        <f t="shared" si="116"/>
        <v>0</v>
      </c>
      <c r="AR252" s="523">
        <f t="shared" si="117"/>
        <v>0</v>
      </c>
      <c r="AS252" s="512">
        <v>0.18</v>
      </c>
      <c r="AT252" s="523">
        <f t="shared" si="115"/>
        <v>10.799999999999999</v>
      </c>
    </row>
    <row r="253" spans="1:46" s="553" customFormat="1" ht="18" customHeight="1">
      <c r="A253" s="777" t="s">
        <v>625</v>
      </c>
      <c r="B253" s="777"/>
      <c r="C253" s="777"/>
      <c r="D253" s="777"/>
      <c r="E253" s="777"/>
      <c r="F253" s="777"/>
      <c r="G253" s="777"/>
      <c r="H253" s="777"/>
      <c r="I253" s="777"/>
      <c r="J253" s="777"/>
      <c r="K253" s="777"/>
      <c r="L253" s="777"/>
      <c r="M253" s="777"/>
      <c r="N253" s="777"/>
      <c r="O253" s="777"/>
      <c r="P253" s="777"/>
      <c r="Q253" s="777"/>
      <c r="R253" s="777"/>
      <c r="S253" s="777"/>
      <c r="T253" s="777"/>
      <c r="U253" s="777"/>
      <c r="V253" s="777"/>
      <c r="W253" s="777"/>
      <c r="X253" s="777"/>
      <c r="Y253" s="777"/>
      <c r="Z253" s="777"/>
      <c r="AA253" s="777"/>
      <c r="AB253" s="777"/>
      <c r="AC253" s="777"/>
      <c r="AD253" s="700"/>
      <c r="AE253" s="554"/>
      <c r="AF253" s="554"/>
      <c r="AG253" s="554"/>
      <c r="AH253" s="554">
        <v>36012</v>
      </c>
      <c r="AI253" s="554"/>
      <c r="AJ253" s="555">
        <v>106.23302983559877</v>
      </c>
      <c r="AK253" s="556">
        <v>105.1948604625895</v>
      </c>
      <c r="AL253" s="555">
        <v>104.86113485125321</v>
      </c>
      <c r="AM253" s="554">
        <v>12</v>
      </c>
      <c r="AN253" s="554">
        <v>1000000</v>
      </c>
      <c r="AO253" s="554">
        <v>0.12</v>
      </c>
      <c r="AP253" s="563">
        <f aca="true" t="shared" si="128" ref="AP253:AP259">AE253*AH253*AJ253%*AM253/AN253*AO253</f>
        <v>0</v>
      </c>
      <c r="AQ253" s="563">
        <f t="shared" si="116"/>
        <v>0</v>
      </c>
      <c r="AR253" s="563">
        <f t="shared" si="117"/>
        <v>0</v>
      </c>
      <c r="AS253" s="554">
        <v>0.18</v>
      </c>
      <c r="AT253" s="563">
        <f t="shared" si="115"/>
        <v>0</v>
      </c>
    </row>
    <row r="254" spans="1:46" s="553" customFormat="1" ht="18" customHeight="1">
      <c r="A254" s="771"/>
      <c r="B254" s="771" t="s">
        <v>272</v>
      </c>
      <c r="C254" s="771"/>
      <c r="D254" s="675" t="s">
        <v>273</v>
      </c>
      <c r="E254" s="594">
        <f>G254+I254+K254+M254+O254+Q254</f>
        <v>2727.8956</v>
      </c>
      <c r="F254" s="594">
        <f>SUM(F255:F257)</f>
        <v>3046.504</v>
      </c>
      <c r="G254" s="620">
        <f aca="true" t="shared" si="129" ref="G254:Q254">SUM(G255:G257)</f>
        <v>2471.8956</v>
      </c>
      <c r="H254" s="685">
        <f>SUM(H255:H257)</f>
        <v>2982.6638000000003</v>
      </c>
      <c r="I254" s="594">
        <f t="shared" si="129"/>
        <v>158.35</v>
      </c>
      <c r="J254" s="594">
        <f>SUM(J255:J257)</f>
        <v>45.400000000000006</v>
      </c>
      <c r="K254" s="620">
        <f t="shared" si="129"/>
        <v>97.65</v>
      </c>
      <c r="L254" s="620">
        <f>SUM(L255:L257)</f>
        <v>18.8</v>
      </c>
      <c r="M254" s="620">
        <f t="shared" si="129"/>
        <v>0</v>
      </c>
      <c r="N254" s="685">
        <f>SUM(N255:N257)</f>
        <v>0</v>
      </c>
      <c r="O254" s="620">
        <f t="shared" si="129"/>
        <v>0</v>
      </c>
      <c r="P254" s="620">
        <f>SUM(P255:P257)</f>
        <v>0</v>
      </c>
      <c r="Q254" s="620">
        <f t="shared" si="129"/>
        <v>0</v>
      </c>
      <c r="R254" s="620">
        <f>SUM(R255:R257)</f>
        <v>0</v>
      </c>
      <c r="S254" s="771"/>
      <c r="T254" s="771"/>
      <c r="U254" s="559">
        <f>SUM(U255:U257)</f>
        <v>128</v>
      </c>
      <c r="V254" s="559"/>
      <c r="W254" s="594">
        <f aca="true" t="shared" si="130" ref="W254:AD254">SUM(W255:W257)</f>
        <v>301.57115082245014</v>
      </c>
      <c r="X254" s="594">
        <f t="shared" si="130"/>
        <v>388.004</v>
      </c>
      <c r="Y254" s="594">
        <f t="shared" si="130"/>
        <v>294.5728128</v>
      </c>
      <c r="Z254" s="594">
        <f t="shared" si="130"/>
        <v>249.395</v>
      </c>
      <c r="AA254" s="594">
        <f t="shared" si="130"/>
        <v>3.7937990419701806</v>
      </c>
      <c r="AB254" s="594">
        <f t="shared" si="130"/>
        <v>8.831</v>
      </c>
      <c r="AC254" s="594">
        <f t="shared" si="130"/>
        <v>3.204538980479885</v>
      </c>
      <c r="AD254" s="685">
        <f t="shared" si="130"/>
        <v>17.932</v>
      </c>
      <c r="AE254" s="554"/>
      <c r="AF254" s="677">
        <f>SUM(AF255:AF257)</f>
        <v>23</v>
      </c>
      <c r="AG254" s="677">
        <f>SUM(AG255:AG257)</f>
        <v>105</v>
      </c>
      <c r="AH254" s="554">
        <v>36012</v>
      </c>
      <c r="AI254" s="554"/>
      <c r="AJ254" s="555">
        <v>106.23302983559877</v>
      </c>
      <c r="AK254" s="556">
        <v>105.1948604625895</v>
      </c>
      <c r="AL254" s="555">
        <v>104.86113485125321</v>
      </c>
      <c r="AM254" s="554">
        <v>12</v>
      </c>
      <c r="AN254" s="554">
        <v>1000000</v>
      </c>
      <c r="AO254" s="554">
        <v>0.12</v>
      </c>
      <c r="AP254" s="563">
        <f t="shared" si="128"/>
        <v>0</v>
      </c>
      <c r="AQ254" s="563">
        <f t="shared" si="116"/>
        <v>0</v>
      </c>
      <c r="AR254" s="563">
        <f t="shared" si="117"/>
        <v>0</v>
      </c>
      <c r="AS254" s="554">
        <v>0.18</v>
      </c>
      <c r="AT254" s="563">
        <f t="shared" si="115"/>
        <v>294.61272479999997</v>
      </c>
    </row>
    <row r="255" spans="1:46" s="553" customFormat="1" ht="18" customHeight="1">
      <c r="A255" s="772"/>
      <c r="B255" s="771"/>
      <c r="C255" s="771"/>
      <c r="D255" s="616">
        <v>2013</v>
      </c>
      <c r="E255" s="719">
        <f>G255+I255+K255+M255+O255+Q255</f>
        <v>303.70860000000005</v>
      </c>
      <c r="F255" s="594">
        <f>F259+F271+F275+F283+F295+F299</f>
        <v>902.094</v>
      </c>
      <c r="G255" s="620">
        <f aca="true" t="shared" si="131" ref="G255:Q255">G259+G263+G267+G271+G275+G279+G283+G291+G295+G299+G287</f>
        <v>238.6086</v>
      </c>
      <c r="H255" s="685">
        <f>H259+H271+H275+H283+H295+H299</f>
        <v>875.0040000000001</v>
      </c>
      <c r="I255" s="594">
        <f t="shared" si="131"/>
        <v>58</v>
      </c>
      <c r="J255" s="594">
        <f>J259+J271+J275+J283+J295+J299</f>
        <v>23.07</v>
      </c>
      <c r="K255" s="620">
        <f t="shared" si="131"/>
        <v>7.1000000000000005</v>
      </c>
      <c r="L255" s="620">
        <f>L259+L271+L275+L283+L295+L299</f>
        <v>4.02</v>
      </c>
      <c r="M255" s="620">
        <f t="shared" si="131"/>
        <v>0</v>
      </c>
      <c r="N255" s="685">
        <f>N259+N271+N275+N283+N295+N299</f>
        <v>0</v>
      </c>
      <c r="O255" s="620">
        <f t="shared" si="131"/>
        <v>0</v>
      </c>
      <c r="P255" s="620">
        <f>P259+P271+P275+P283+P295+P299</f>
        <v>0</v>
      </c>
      <c r="Q255" s="620">
        <f t="shared" si="131"/>
        <v>0</v>
      </c>
      <c r="R255" s="620">
        <f>R259+R271+R275+R283+R295+R299</f>
        <v>0</v>
      </c>
      <c r="S255" s="771"/>
      <c r="T255" s="771"/>
      <c r="U255" s="559">
        <f>U259+U263+U267+U271+U275+U279+U283+U291+U295+U299+U287</f>
        <v>38</v>
      </c>
      <c r="V255" s="559" t="s">
        <v>806</v>
      </c>
      <c r="W255" s="594">
        <f>Y255+AA255+AC255</f>
        <v>34.85393206990454</v>
      </c>
      <c r="X255" s="594">
        <f>X259</f>
        <v>43.397</v>
      </c>
      <c r="Y255" s="594">
        <f>Y259+Y263+Y267+Y271+Y275+Y279+Y283+Y291+Y295+Y299+Y287</f>
        <v>32.760528799999996</v>
      </c>
      <c r="Z255" s="594">
        <f>Z259</f>
        <v>23.5</v>
      </c>
      <c r="AA255" s="594">
        <f aca="true" t="shared" si="132" ref="Y255:AC257">AA259+AA263+AA267+AA271+AA275+AA279+AA283+AA291+AA295+AA299+AA287</f>
        <v>1.1348339126152511</v>
      </c>
      <c r="AB255" s="594">
        <f>AB259</f>
        <v>4.8</v>
      </c>
      <c r="AC255" s="594">
        <f t="shared" si="132"/>
        <v>0.9585693572892887</v>
      </c>
      <c r="AD255" s="706">
        <f>AD259</f>
        <v>15.097</v>
      </c>
      <c r="AE255" s="554"/>
      <c r="AF255" s="677">
        <f aca="true" t="shared" si="133" ref="AF255:AG257">AF259+AF263+AF267+AF271+AF275+AF279+AF283+AF291+AF295+AF299+AF287</f>
        <v>0</v>
      </c>
      <c r="AG255" s="677">
        <f t="shared" si="133"/>
        <v>38</v>
      </c>
      <c r="AH255" s="554">
        <v>36012</v>
      </c>
      <c r="AI255" s="554"/>
      <c r="AJ255" s="555">
        <v>106.23302983559877</v>
      </c>
      <c r="AK255" s="556">
        <v>105.1948604625895</v>
      </c>
      <c r="AL255" s="555">
        <v>104.86113485125321</v>
      </c>
      <c r="AM255" s="554">
        <v>12</v>
      </c>
      <c r="AN255" s="554">
        <v>1000000</v>
      </c>
      <c r="AO255" s="554">
        <v>0.12</v>
      </c>
      <c r="AP255" s="563">
        <f t="shared" si="128"/>
        <v>0</v>
      </c>
      <c r="AQ255" s="563">
        <f t="shared" si="116"/>
        <v>0</v>
      </c>
      <c r="AR255" s="563">
        <f t="shared" si="117"/>
        <v>0</v>
      </c>
      <c r="AS255" s="554">
        <v>0.18</v>
      </c>
      <c r="AT255" s="563">
        <f t="shared" si="115"/>
        <v>32.8005288</v>
      </c>
    </row>
    <row r="256" spans="1:46" s="553" customFormat="1" ht="18" customHeight="1">
      <c r="A256" s="772"/>
      <c r="B256" s="771"/>
      <c r="C256" s="771"/>
      <c r="D256" s="616">
        <v>2014</v>
      </c>
      <c r="E256" s="594">
        <v>1148.673</v>
      </c>
      <c r="F256" s="594">
        <f>F260+F276+F296+F300+F284+F268</f>
        <v>1267.0800000000002</v>
      </c>
      <c r="G256" s="620">
        <v>1040.973</v>
      </c>
      <c r="H256" s="685">
        <f>H260+H276+H296+H300+H284+H268</f>
        <v>1261.5000000000002</v>
      </c>
      <c r="I256" s="594">
        <f aca="true" t="shared" si="134" ref="I256:Q256">I260+I264+I268+I272+I276+I280+I284+I292+I296+I300+I288</f>
        <v>68.69999999999999</v>
      </c>
      <c r="J256" s="594"/>
      <c r="K256" s="620">
        <f t="shared" si="134"/>
        <v>39</v>
      </c>
      <c r="L256" s="620">
        <f>L260+L276+L296+L300+L284</f>
        <v>5.78</v>
      </c>
      <c r="M256" s="620">
        <f t="shared" si="134"/>
        <v>0</v>
      </c>
      <c r="N256" s="685"/>
      <c r="O256" s="620">
        <f t="shared" si="134"/>
        <v>0</v>
      </c>
      <c r="P256" s="620"/>
      <c r="Q256" s="620">
        <f t="shared" si="134"/>
        <v>0</v>
      </c>
      <c r="R256" s="620"/>
      <c r="S256" s="771"/>
      <c r="T256" s="771"/>
      <c r="U256" s="559">
        <f>U260+U264+U268+U272+U276+U280+U284+U292+U296+U300+U288</f>
        <v>63</v>
      </c>
      <c r="V256" s="620" t="s">
        <v>814</v>
      </c>
      <c r="W256" s="731">
        <f>Y256+AA256+AC256</f>
        <v>127.49340918014875</v>
      </c>
      <c r="X256" s="731">
        <f>X260+X276+X296+X300+X284</f>
        <v>230.78100000000003</v>
      </c>
      <c r="Y256" s="731">
        <f t="shared" si="132"/>
        <v>124.056684</v>
      </c>
      <c r="Z256" s="594">
        <f>Z260+Z276+Z296+Z300+Z284</f>
        <v>225.85600000000002</v>
      </c>
      <c r="AA256" s="594">
        <f t="shared" si="132"/>
        <v>1.8630487201586337</v>
      </c>
      <c r="AB256" s="594">
        <f>AB260+AB276+AB296+AB300+AB284</f>
        <v>2.89</v>
      </c>
      <c r="AC256" s="594">
        <f t="shared" si="132"/>
        <v>1.5736764599901094</v>
      </c>
      <c r="AD256" s="685">
        <f>AD260+AD276+AD296+AD300+AD284</f>
        <v>2.035</v>
      </c>
      <c r="AE256" s="554"/>
      <c r="AF256" s="677">
        <f t="shared" si="133"/>
        <v>23</v>
      </c>
      <c r="AG256" s="677">
        <f t="shared" si="133"/>
        <v>40</v>
      </c>
      <c r="AH256" s="554">
        <v>36012</v>
      </c>
      <c r="AI256" s="554"/>
      <c r="AJ256" s="555">
        <v>106.23302983559877</v>
      </c>
      <c r="AK256" s="556">
        <v>105.1948604625895</v>
      </c>
      <c r="AL256" s="555">
        <v>104.86113485125321</v>
      </c>
      <c r="AM256" s="554">
        <v>12</v>
      </c>
      <c r="AN256" s="554">
        <v>1000000</v>
      </c>
      <c r="AO256" s="554">
        <v>0.12</v>
      </c>
      <c r="AP256" s="563">
        <f t="shared" si="128"/>
        <v>0</v>
      </c>
      <c r="AQ256" s="563">
        <f t="shared" si="116"/>
        <v>0</v>
      </c>
      <c r="AR256" s="563">
        <f t="shared" si="117"/>
        <v>0</v>
      </c>
      <c r="AS256" s="554">
        <v>0.18</v>
      </c>
      <c r="AT256" s="563">
        <f t="shared" si="115"/>
        <v>124.05668399999999</v>
      </c>
    </row>
    <row r="257" spans="1:46" s="553" customFormat="1" ht="43.5" customHeight="1">
      <c r="A257" s="772"/>
      <c r="B257" s="771"/>
      <c r="C257" s="771"/>
      <c r="D257" s="616">
        <v>2015</v>
      </c>
      <c r="E257" s="594">
        <f>E261+E265+E269+E273+E277+E281+E285+E289+E293+E297+E301</f>
        <v>1275.4999999999998</v>
      </c>
      <c r="F257" s="594">
        <f>F261+F265+F269+F273+F277+F281+F285+F289+F293+F297+F301</f>
        <v>877.3299999999999</v>
      </c>
      <c r="G257" s="620">
        <f aca="true" t="shared" si="135" ref="G257:Q257">G261+G265+G269+G273+G277+G281+G285+G293+G297+G301+G289</f>
        <v>1192.3139999999999</v>
      </c>
      <c r="H257" s="685">
        <f>H261+H265+H269+H273+H277+H281+H285+H289+H293+H297+H301</f>
        <v>846.1598</v>
      </c>
      <c r="I257" s="594">
        <f t="shared" si="135"/>
        <v>31.65</v>
      </c>
      <c r="J257" s="594">
        <f>J261+J265+J269+J273+J277+J281+J285+J289+J293+J297+J301</f>
        <v>22.330000000000002</v>
      </c>
      <c r="K257" s="620">
        <f t="shared" si="135"/>
        <v>51.55</v>
      </c>
      <c r="L257" s="620">
        <f>L261+L265+L269+L273+L277+L281+L285+L289+L293+L297+L301</f>
        <v>9</v>
      </c>
      <c r="M257" s="620">
        <f t="shared" si="135"/>
        <v>0</v>
      </c>
      <c r="N257" s="685">
        <f>N261+N265+N269+N273+N277+N281+N285+N289+N293+N297+N301</f>
        <v>0</v>
      </c>
      <c r="O257" s="620">
        <f t="shared" si="135"/>
        <v>0</v>
      </c>
      <c r="P257" s="620">
        <f>P261+P265+P269+P273+P277+P281+P285+P289+P293+P297+P301</f>
        <v>0</v>
      </c>
      <c r="Q257" s="620">
        <f t="shared" si="135"/>
        <v>0</v>
      </c>
      <c r="R257" s="620">
        <f>R261+R265+R269+R273+R277+R281+R285+R289+R293+R297+R301</f>
        <v>0</v>
      </c>
      <c r="S257" s="771"/>
      <c r="T257" s="771"/>
      <c r="U257" s="559">
        <f>U261+U265+U269+U273+U277+U281+U285+U293+U297+U301+U289</f>
        <v>27</v>
      </c>
      <c r="V257" s="620" t="s">
        <v>841</v>
      </c>
      <c r="W257" s="731">
        <f>Y257+AA257+AC257</f>
        <v>139.22380957239682</v>
      </c>
      <c r="X257" s="731">
        <f>X261+X265+X269+X273+X277+X281+X285+X289+X293+X297+X301</f>
        <v>113.826</v>
      </c>
      <c r="Y257" s="731">
        <f t="shared" si="132"/>
        <v>137.75560000000002</v>
      </c>
      <c r="Z257" s="594">
        <f>Z261+Z265+Z269+Z273+Z277+Z281+Z285+Z289+Z293+Z297+Z301</f>
        <v>0.039</v>
      </c>
      <c r="AA257" s="594">
        <f t="shared" si="132"/>
        <v>0.7959164091962961</v>
      </c>
      <c r="AB257" s="594">
        <f>AB261+AB265+AB269+AB273+AB277+AB281+AB285+AB289+AB293+AB297+AB301</f>
        <v>1.141</v>
      </c>
      <c r="AC257" s="594">
        <f t="shared" si="132"/>
        <v>0.6722931632004869</v>
      </c>
      <c r="AD257" s="685">
        <f>AD261+AD265+AD269+AD273+AD277+AD281+AD285+AD289+AD293+AD297+AD301</f>
        <v>0.8</v>
      </c>
      <c r="AE257" s="554"/>
      <c r="AF257" s="677">
        <f t="shared" si="133"/>
        <v>0</v>
      </c>
      <c r="AG257" s="677">
        <f t="shared" si="133"/>
        <v>27</v>
      </c>
      <c r="AH257" s="554">
        <v>36012</v>
      </c>
      <c r="AI257" s="554"/>
      <c r="AJ257" s="555">
        <v>106.23302983559877</v>
      </c>
      <c r="AK257" s="556">
        <v>105.1948604625895</v>
      </c>
      <c r="AL257" s="555">
        <v>104.86113485125321</v>
      </c>
      <c r="AM257" s="554">
        <v>12</v>
      </c>
      <c r="AN257" s="554">
        <v>1000000</v>
      </c>
      <c r="AO257" s="554">
        <v>0.12</v>
      </c>
      <c r="AP257" s="563">
        <f t="shared" si="128"/>
        <v>0</v>
      </c>
      <c r="AQ257" s="563">
        <f t="shared" si="116"/>
        <v>0</v>
      </c>
      <c r="AR257" s="563">
        <f t="shared" si="117"/>
        <v>0</v>
      </c>
      <c r="AS257" s="554">
        <v>0.18</v>
      </c>
      <c r="AT257" s="563">
        <f t="shared" si="115"/>
        <v>137.75399999999996</v>
      </c>
    </row>
    <row r="258" spans="1:46" ht="30.75" customHeight="1">
      <c r="A258" s="763">
        <v>1</v>
      </c>
      <c r="B258" s="742" t="s">
        <v>578</v>
      </c>
      <c r="C258" s="742" t="s">
        <v>473</v>
      </c>
      <c r="D258" s="489" t="s">
        <v>273</v>
      </c>
      <c r="E258" s="578">
        <f aca="true" t="shared" si="136" ref="E258:E298">SUM(G258:Q258)</f>
        <v>1294.3</v>
      </c>
      <c r="F258" s="578"/>
      <c r="G258" s="569">
        <f aca="true" t="shared" si="137" ref="G258:Q258">SUM(G259:G261)</f>
        <v>1294.3</v>
      </c>
      <c r="H258" s="586"/>
      <c r="I258" s="578">
        <f t="shared" si="137"/>
        <v>0</v>
      </c>
      <c r="J258" s="578"/>
      <c r="K258" s="569">
        <f t="shared" si="137"/>
        <v>0</v>
      </c>
      <c r="L258" s="569"/>
      <c r="M258" s="569">
        <f t="shared" si="137"/>
        <v>0</v>
      </c>
      <c r="N258" s="586"/>
      <c r="O258" s="569">
        <f t="shared" si="137"/>
        <v>0</v>
      </c>
      <c r="P258" s="569"/>
      <c r="Q258" s="569">
        <f t="shared" si="137"/>
        <v>0</v>
      </c>
      <c r="R258" s="569"/>
      <c r="S258" s="762" t="s">
        <v>584</v>
      </c>
      <c r="T258" s="762" t="s">
        <v>497</v>
      </c>
      <c r="U258" s="493">
        <f>SUM(U259:U261)</f>
        <v>15</v>
      </c>
      <c r="V258" s="493"/>
      <c r="W258" s="577">
        <f>SUM(W259:W261)</f>
        <v>140.584</v>
      </c>
      <c r="X258" s="577"/>
      <c r="Y258" s="577">
        <f>SUM(Y259:Y261)</f>
        <v>139.744</v>
      </c>
      <c r="Z258" s="577"/>
      <c r="AA258" s="577">
        <f>SUM(AA259:AA261)</f>
        <v>0.44358302860919846</v>
      </c>
      <c r="AB258" s="577"/>
      <c r="AC258" s="577">
        <f>SUM(AC259:AC261)</f>
        <v>0.3746848714262165</v>
      </c>
      <c r="AD258" s="700"/>
      <c r="AF258" s="520"/>
      <c r="AG258" s="518"/>
      <c r="AH258" s="512">
        <v>36012</v>
      </c>
      <c r="AJ258" s="513">
        <v>106.23302983559877</v>
      </c>
      <c r="AK258" s="514">
        <v>105.1948604625895</v>
      </c>
      <c r="AL258" s="513">
        <v>104.86113485125321</v>
      </c>
      <c r="AM258" s="512">
        <v>12</v>
      </c>
      <c r="AN258" s="512">
        <v>1000000</v>
      </c>
      <c r="AO258" s="512">
        <v>0.12</v>
      </c>
      <c r="AP258" s="523">
        <f t="shared" si="128"/>
        <v>0</v>
      </c>
      <c r="AQ258" s="523">
        <f t="shared" si="116"/>
        <v>0</v>
      </c>
      <c r="AR258" s="523">
        <f t="shared" si="117"/>
        <v>0</v>
      </c>
      <c r="AS258" s="512">
        <v>0.18</v>
      </c>
      <c r="AT258" s="523">
        <f t="shared" si="115"/>
        <v>139.78439999999998</v>
      </c>
    </row>
    <row r="259" spans="1:46" ht="30.75" customHeight="1">
      <c r="A259" s="763"/>
      <c r="B259" s="742"/>
      <c r="C259" s="742"/>
      <c r="D259" s="489">
        <v>2013</v>
      </c>
      <c r="E259" s="578">
        <f>G259+I259+K259+M259+O259+Q259</f>
        <v>30</v>
      </c>
      <c r="F259" s="578">
        <v>701.1</v>
      </c>
      <c r="G259" s="569">
        <v>30</v>
      </c>
      <c r="H259" s="586">
        <v>701.1</v>
      </c>
      <c r="I259" s="578">
        <v>0</v>
      </c>
      <c r="J259" s="578"/>
      <c r="K259" s="569">
        <v>0</v>
      </c>
      <c r="L259" s="569"/>
      <c r="M259" s="569">
        <v>0</v>
      </c>
      <c r="N259" s="586"/>
      <c r="O259" s="569">
        <v>0</v>
      </c>
      <c r="P259" s="569"/>
      <c r="Q259" s="569">
        <v>0</v>
      </c>
      <c r="R259" s="569"/>
      <c r="S259" s="762"/>
      <c r="T259" s="762"/>
      <c r="U259" s="493">
        <f>AE259</f>
        <v>0</v>
      </c>
      <c r="V259" s="493" t="s">
        <v>805</v>
      </c>
      <c r="W259" s="577">
        <v>3.2</v>
      </c>
      <c r="X259" s="577">
        <f>Z259+AB259+AD259</f>
        <v>43.397</v>
      </c>
      <c r="Y259" s="577">
        <v>3.2</v>
      </c>
      <c r="Z259" s="577">
        <v>23.5</v>
      </c>
      <c r="AA259" s="577">
        <f>AR259</f>
        <v>0</v>
      </c>
      <c r="AB259" s="577">
        <v>4.8</v>
      </c>
      <c r="AC259" s="577">
        <f>AQ259</f>
        <v>0</v>
      </c>
      <c r="AD259" s="586">
        <v>15.097</v>
      </c>
      <c r="AE259" s="525">
        <f>AF259+AG259</f>
        <v>0</v>
      </c>
      <c r="AF259" s="520">
        <v>0</v>
      </c>
      <c r="AH259" s="512">
        <v>36012</v>
      </c>
      <c r="AJ259" s="513">
        <v>106.23302983559877</v>
      </c>
      <c r="AK259" s="514">
        <v>105.1948604625895</v>
      </c>
      <c r="AL259" s="513">
        <v>104.86113485125321</v>
      </c>
      <c r="AM259" s="512">
        <v>12</v>
      </c>
      <c r="AN259" s="512">
        <v>1000000</v>
      </c>
      <c r="AO259" s="512">
        <v>0.12</v>
      </c>
      <c r="AP259" s="523">
        <f t="shared" si="128"/>
        <v>0</v>
      </c>
      <c r="AQ259" s="523">
        <f t="shared" si="116"/>
        <v>0</v>
      </c>
      <c r="AR259" s="523">
        <f t="shared" si="117"/>
        <v>0</v>
      </c>
      <c r="AS259" s="512">
        <v>0.18</v>
      </c>
      <c r="AT259" s="523">
        <f t="shared" si="115"/>
        <v>3.2399999999999998</v>
      </c>
    </row>
    <row r="260" spans="1:46" ht="30.75" customHeight="1">
      <c r="A260" s="763"/>
      <c r="B260" s="742"/>
      <c r="C260" s="742"/>
      <c r="D260" s="489">
        <v>2014</v>
      </c>
      <c r="E260" s="578">
        <v>670</v>
      </c>
      <c r="F260" s="578">
        <v>555.6</v>
      </c>
      <c r="G260" s="569">
        <v>670</v>
      </c>
      <c r="H260" s="586">
        <v>555.6</v>
      </c>
      <c r="I260" s="578">
        <v>0</v>
      </c>
      <c r="J260" s="578"/>
      <c r="K260" s="569">
        <v>0</v>
      </c>
      <c r="L260" s="569"/>
      <c r="M260" s="569">
        <v>0</v>
      </c>
      <c r="N260" s="586"/>
      <c r="O260" s="569">
        <v>0</v>
      </c>
      <c r="P260" s="569"/>
      <c r="Q260" s="569">
        <v>0</v>
      </c>
      <c r="R260" s="569"/>
      <c r="S260" s="762"/>
      <c r="T260" s="762"/>
      <c r="U260" s="493">
        <f>AE260</f>
        <v>15</v>
      </c>
      <c r="V260" s="493" t="s">
        <v>812</v>
      </c>
      <c r="W260" s="577">
        <v>73.2</v>
      </c>
      <c r="X260" s="577">
        <f>Z260+AB260+AD260</f>
        <v>104.925</v>
      </c>
      <c r="Y260" s="577">
        <v>72.36</v>
      </c>
      <c r="Z260" s="577">
        <v>100</v>
      </c>
      <c r="AA260" s="577">
        <f>AR260</f>
        <v>0.44358302860919846</v>
      </c>
      <c r="AB260" s="577">
        <v>2.89</v>
      </c>
      <c r="AC260" s="577">
        <f>AQ260</f>
        <v>0.3746848714262165</v>
      </c>
      <c r="AD260" s="700">
        <v>2.035</v>
      </c>
      <c r="AE260" s="512">
        <f t="shared" si="102"/>
        <v>15</v>
      </c>
      <c r="AF260" s="520">
        <v>15</v>
      </c>
      <c r="AH260" s="512">
        <v>36012</v>
      </c>
      <c r="AJ260" s="513">
        <v>106.23302983559877</v>
      </c>
      <c r="AK260" s="514">
        <v>105.1948604625895</v>
      </c>
      <c r="AL260" s="513">
        <v>104.86113485125321</v>
      </c>
      <c r="AM260" s="512">
        <v>12</v>
      </c>
      <c r="AN260" s="512">
        <v>1000000</v>
      </c>
      <c r="AO260" s="512">
        <v>0.12</v>
      </c>
      <c r="AP260" s="523">
        <f>AE260*AH260*AK260%*AM260/AN260*AO260</f>
        <v>0.8182679000354149</v>
      </c>
      <c r="AQ260" s="523">
        <f t="shared" si="116"/>
        <v>0.3746848714262165</v>
      </c>
      <c r="AR260" s="523">
        <f t="shared" si="117"/>
        <v>0.44358302860919846</v>
      </c>
      <c r="AS260" s="512">
        <v>0.18</v>
      </c>
      <c r="AT260" s="523">
        <f t="shared" si="115"/>
        <v>72.36</v>
      </c>
    </row>
    <row r="261" spans="1:46" s="644" customFormat="1" ht="54" customHeight="1">
      <c r="A261" s="763"/>
      <c r="B261" s="742"/>
      <c r="C261" s="742"/>
      <c r="D261" s="633">
        <v>2015</v>
      </c>
      <c r="E261" s="650">
        <f t="shared" si="136"/>
        <v>594.3</v>
      </c>
      <c r="F261" s="650">
        <v>0</v>
      </c>
      <c r="G261" s="634">
        <v>594.3</v>
      </c>
      <c r="H261" s="667"/>
      <c r="I261" s="650">
        <v>0</v>
      </c>
      <c r="J261" s="650"/>
      <c r="K261" s="634">
        <v>0</v>
      </c>
      <c r="L261" s="634"/>
      <c r="M261" s="634">
        <v>0</v>
      </c>
      <c r="N261" s="667"/>
      <c r="O261" s="634">
        <v>0</v>
      </c>
      <c r="P261" s="634"/>
      <c r="Q261" s="634">
        <v>0</v>
      </c>
      <c r="R261" s="634"/>
      <c r="S261" s="762"/>
      <c r="T261" s="762"/>
      <c r="U261" s="637">
        <f>AE261</f>
        <v>0</v>
      </c>
      <c r="V261" s="637"/>
      <c r="W261" s="646">
        <f>SUM(Y261+AA261+AC261)</f>
        <v>64.184</v>
      </c>
      <c r="X261" s="646"/>
      <c r="Y261" s="646">
        <v>64.184</v>
      </c>
      <c r="Z261" s="646"/>
      <c r="AA261" s="646">
        <f>AR261</f>
        <v>0</v>
      </c>
      <c r="AB261" s="646"/>
      <c r="AC261" s="646">
        <f>AQ261</f>
        <v>0</v>
      </c>
      <c r="AD261" s="701"/>
      <c r="AE261" s="638">
        <f t="shared" si="102"/>
        <v>0</v>
      </c>
      <c r="AF261" s="639">
        <v>0</v>
      </c>
      <c r="AG261" s="638"/>
      <c r="AH261" s="638">
        <v>36012</v>
      </c>
      <c r="AI261" s="638"/>
      <c r="AJ261" s="641">
        <v>106.23302983559877</v>
      </c>
      <c r="AK261" s="642">
        <v>105.1948604625895</v>
      </c>
      <c r="AL261" s="641">
        <v>104.86113485125321</v>
      </c>
      <c r="AM261" s="638">
        <v>12</v>
      </c>
      <c r="AN261" s="638">
        <v>1000000</v>
      </c>
      <c r="AO261" s="638">
        <v>0.12</v>
      </c>
      <c r="AP261" s="643">
        <f>AE261*AH261*AL261%*AM261/AN261*AO261</f>
        <v>0</v>
      </c>
      <c r="AQ261" s="643">
        <f t="shared" si="116"/>
        <v>0</v>
      </c>
      <c r="AR261" s="643">
        <f t="shared" si="117"/>
        <v>0</v>
      </c>
      <c r="AS261" s="638">
        <v>0.18</v>
      </c>
      <c r="AT261" s="643">
        <f t="shared" si="115"/>
        <v>64.1844</v>
      </c>
    </row>
    <row r="262" spans="1:46" ht="27.75" customHeight="1">
      <c r="A262" s="763">
        <v>2</v>
      </c>
      <c r="B262" s="742" t="s">
        <v>498</v>
      </c>
      <c r="C262" s="742" t="s">
        <v>473</v>
      </c>
      <c r="D262" s="489" t="s">
        <v>273</v>
      </c>
      <c r="E262" s="578">
        <f t="shared" si="136"/>
        <v>151.851</v>
      </c>
      <c r="F262" s="578"/>
      <c r="G262" s="569">
        <f aca="true" t="shared" si="138" ref="G262:Q262">SUM(G263:G265)</f>
        <v>151.851</v>
      </c>
      <c r="H262" s="586"/>
      <c r="I262" s="578">
        <f t="shared" si="138"/>
        <v>0</v>
      </c>
      <c r="J262" s="578"/>
      <c r="K262" s="569">
        <f t="shared" si="138"/>
        <v>0</v>
      </c>
      <c r="L262" s="569"/>
      <c r="M262" s="569">
        <f t="shared" si="138"/>
        <v>0</v>
      </c>
      <c r="N262" s="586"/>
      <c r="O262" s="569">
        <f t="shared" si="138"/>
        <v>0</v>
      </c>
      <c r="P262" s="569"/>
      <c r="Q262" s="569">
        <f t="shared" si="138"/>
        <v>0</v>
      </c>
      <c r="R262" s="569"/>
      <c r="S262" s="762" t="s">
        <v>584</v>
      </c>
      <c r="T262" s="762" t="s">
        <v>308</v>
      </c>
      <c r="U262" s="493">
        <f>SUM(U263:U265)</f>
        <v>15</v>
      </c>
      <c r="V262" s="493"/>
      <c r="W262" s="577">
        <f>SUM(W263:W265)</f>
        <v>17.218175900035412</v>
      </c>
      <c r="X262" s="577"/>
      <c r="Y262" s="577">
        <f>SUM(Y263:Y265)</f>
        <v>16.399907999999996</v>
      </c>
      <c r="Z262" s="577"/>
      <c r="AA262" s="577">
        <f>SUM(AA263:AA265)</f>
        <v>0.44358302860919846</v>
      </c>
      <c r="AB262" s="577"/>
      <c r="AC262" s="577">
        <f>SUM(AC263:AC265)</f>
        <v>0.3746848714262165</v>
      </c>
      <c r="AD262" s="700"/>
      <c r="AE262" s="525"/>
      <c r="AF262" s="520"/>
      <c r="AG262" s="518"/>
      <c r="AH262" s="512">
        <v>36012</v>
      </c>
      <c r="AJ262" s="513">
        <v>106.23302983559877</v>
      </c>
      <c r="AK262" s="514">
        <v>105.1948604625895</v>
      </c>
      <c r="AL262" s="513">
        <v>104.86113485125321</v>
      </c>
      <c r="AM262" s="512">
        <v>12</v>
      </c>
      <c r="AN262" s="512">
        <v>1000000</v>
      </c>
      <c r="AO262" s="512">
        <v>0.12</v>
      </c>
      <c r="AP262" s="523">
        <f>AE262*AH262*AJ262%*AM262/AN262*AO262</f>
        <v>0</v>
      </c>
      <c r="AQ262" s="523">
        <f t="shared" si="116"/>
        <v>0</v>
      </c>
      <c r="AR262" s="523">
        <f t="shared" si="117"/>
        <v>0</v>
      </c>
      <c r="AS262" s="512">
        <v>0.18</v>
      </c>
      <c r="AT262" s="523">
        <f t="shared" si="115"/>
        <v>16.399907999999996</v>
      </c>
    </row>
    <row r="263" spans="1:46" ht="27.75" customHeight="1">
      <c r="A263" s="763"/>
      <c r="B263" s="742"/>
      <c r="C263" s="742"/>
      <c r="D263" s="489">
        <v>2013</v>
      </c>
      <c r="E263" s="578">
        <f t="shared" si="136"/>
        <v>6.848</v>
      </c>
      <c r="F263" s="578"/>
      <c r="G263" s="569">
        <v>6.848</v>
      </c>
      <c r="H263" s="586"/>
      <c r="I263" s="578">
        <v>0</v>
      </c>
      <c r="J263" s="578"/>
      <c r="K263" s="569">
        <v>0</v>
      </c>
      <c r="L263" s="569"/>
      <c r="M263" s="569">
        <v>0</v>
      </c>
      <c r="N263" s="586"/>
      <c r="O263" s="569">
        <v>0</v>
      </c>
      <c r="P263" s="569"/>
      <c r="Q263" s="569">
        <v>0</v>
      </c>
      <c r="R263" s="569"/>
      <c r="S263" s="762"/>
      <c r="T263" s="762"/>
      <c r="U263" s="493">
        <f>AE263</f>
        <v>0</v>
      </c>
      <c r="V263" s="493"/>
      <c r="W263" s="577">
        <f>SUM(Y263:AC263)</f>
        <v>0.7395839999999999</v>
      </c>
      <c r="X263" s="577"/>
      <c r="Y263" s="577">
        <f>AT263</f>
        <v>0.7395839999999999</v>
      </c>
      <c r="Z263" s="577"/>
      <c r="AA263" s="577">
        <f>AR263</f>
        <v>0</v>
      </c>
      <c r="AB263" s="577"/>
      <c r="AC263" s="577">
        <f>AQ263</f>
        <v>0</v>
      </c>
      <c r="AD263" s="700"/>
      <c r="AE263" s="512">
        <f t="shared" si="102"/>
        <v>0</v>
      </c>
      <c r="AF263" s="520">
        <v>0</v>
      </c>
      <c r="AH263" s="512">
        <v>36012</v>
      </c>
      <c r="AJ263" s="513">
        <v>106.23302983559877</v>
      </c>
      <c r="AK263" s="514">
        <v>105.1948604625895</v>
      </c>
      <c r="AL263" s="513">
        <v>104.86113485125321</v>
      </c>
      <c r="AM263" s="512">
        <v>12</v>
      </c>
      <c r="AN263" s="512">
        <v>1000000</v>
      </c>
      <c r="AO263" s="512">
        <v>0.12</v>
      </c>
      <c r="AP263" s="523">
        <f>AE263*AH263*AJ263%*AM263/AN263*AO263</f>
        <v>0</v>
      </c>
      <c r="AQ263" s="523">
        <f t="shared" si="116"/>
        <v>0</v>
      </c>
      <c r="AR263" s="523">
        <f t="shared" si="117"/>
        <v>0</v>
      </c>
      <c r="AS263" s="512">
        <v>0.18</v>
      </c>
      <c r="AT263" s="523">
        <f t="shared" si="115"/>
        <v>0.7395839999999999</v>
      </c>
    </row>
    <row r="264" spans="1:46" ht="27.75" customHeight="1">
      <c r="A264" s="763"/>
      <c r="B264" s="742"/>
      <c r="C264" s="742"/>
      <c r="D264" s="489">
        <v>2014</v>
      </c>
      <c r="E264" s="578">
        <f t="shared" si="136"/>
        <v>145.003</v>
      </c>
      <c r="F264" s="578"/>
      <c r="G264" s="569">
        <v>145.003</v>
      </c>
      <c r="H264" s="586"/>
      <c r="I264" s="578">
        <v>0</v>
      </c>
      <c r="J264" s="578"/>
      <c r="K264" s="569">
        <v>0</v>
      </c>
      <c r="L264" s="569"/>
      <c r="M264" s="569">
        <v>0</v>
      </c>
      <c r="N264" s="586"/>
      <c r="O264" s="569">
        <v>0</v>
      </c>
      <c r="P264" s="569"/>
      <c r="Q264" s="569">
        <v>0</v>
      </c>
      <c r="R264" s="569"/>
      <c r="S264" s="762"/>
      <c r="T264" s="762"/>
      <c r="U264" s="493">
        <f>AE264</f>
        <v>15</v>
      </c>
      <c r="V264" s="493"/>
      <c r="W264" s="577">
        <f>SUM(Y264:AC264)</f>
        <v>16.47859190003541</v>
      </c>
      <c r="X264" s="577"/>
      <c r="Y264" s="577">
        <f>AT264</f>
        <v>15.660323999999997</v>
      </c>
      <c r="Z264" s="577"/>
      <c r="AA264" s="577">
        <f>AR264</f>
        <v>0.44358302860919846</v>
      </c>
      <c r="AB264" s="577"/>
      <c r="AC264" s="577">
        <f>AQ264</f>
        <v>0.3746848714262165</v>
      </c>
      <c r="AD264" s="700"/>
      <c r="AE264" s="525">
        <f>AF264+AG264</f>
        <v>15</v>
      </c>
      <c r="AF264" s="520">
        <v>0</v>
      </c>
      <c r="AG264" s="512">
        <v>15</v>
      </c>
      <c r="AH264" s="512">
        <v>36012</v>
      </c>
      <c r="AJ264" s="513">
        <v>106.23302983559877</v>
      </c>
      <c r="AK264" s="514">
        <v>105.1948604625895</v>
      </c>
      <c r="AL264" s="513">
        <v>104.86113485125321</v>
      </c>
      <c r="AM264" s="512">
        <v>12</v>
      </c>
      <c r="AN264" s="512">
        <v>1000000</v>
      </c>
      <c r="AO264" s="512">
        <v>0.12</v>
      </c>
      <c r="AP264" s="523">
        <f>AE264*AH264*AK264%*AM264/AN264*AO264</f>
        <v>0.8182679000354149</v>
      </c>
      <c r="AQ264" s="523">
        <f t="shared" si="116"/>
        <v>0.3746848714262165</v>
      </c>
      <c r="AR264" s="523">
        <f t="shared" si="117"/>
        <v>0.44358302860919846</v>
      </c>
      <c r="AS264" s="512">
        <v>0.18</v>
      </c>
      <c r="AT264" s="523">
        <f t="shared" si="115"/>
        <v>15.660323999999997</v>
      </c>
    </row>
    <row r="265" spans="1:46" s="644" customFormat="1" ht="27.75" customHeight="1">
      <c r="A265" s="763"/>
      <c r="B265" s="742"/>
      <c r="C265" s="742"/>
      <c r="D265" s="633">
        <v>2015</v>
      </c>
      <c r="E265" s="650">
        <v>0</v>
      </c>
      <c r="F265" s="650">
        <v>168.8</v>
      </c>
      <c r="G265" s="634">
        <v>0</v>
      </c>
      <c r="H265" s="667">
        <v>168.8</v>
      </c>
      <c r="I265" s="650">
        <v>0</v>
      </c>
      <c r="J265" s="650"/>
      <c r="K265" s="634">
        <v>0</v>
      </c>
      <c r="L265" s="634"/>
      <c r="M265" s="634">
        <v>0</v>
      </c>
      <c r="N265" s="667"/>
      <c r="O265" s="634">
        <v>0</v>
      </c>
      <c r="P265" s="634"/>
      <c r="Q265" s="634">
        <v>0</v>
      </c>
      <c r="R265" s="634"/>
      <c r="S265" s="762"/>
      <c r="T265" s="762"/>
      <c r="U265" s="637">
        <f>AE265</f>
        <v>0</v>
      </c>
      <c r="V265" s="637" t="s">
        <v>836</v>
      </c>
      <c r="W265" s="646">
        <f>SUM(Y265:AC265)</f>
        <v>0</v>
      </c>
      <c r="X265" s="646">
        <v>6.48</v>
      </c>
      <c r="Y265" s="646">
        <f>AT265</f>
        <v>0</v>
      </c>
      <c r="Z265" s="646"/>
      <c r="AA265" s="646">
        <f>AR265</f>
        <v>0</v>
      </c>
      <c r="AB265" s="646"/>
      <c r="AC265" s="646">
        <f>AQ265</f>
        <v>0</v>
      </c>
      <c r="AD265" s="701"/>
      <c r="AE265" s="638">
        <f aca="true" t="shared" si="139" ref="AE265:AE328">AF265+AG265</f>
        <v>0</v>
      </c>
      <c r="AF265" s="639">
        <v>0</v>
      </c>
      <c r="AG265" s="638"/>
      <c r="AH265" s="638">
        <v>36012</v>
      </c>
      <c r="AI265" s="638"/>
      <c r="AJ265" s="641">
        <v>106.23302983559877</v>
      </c>
      <c r="AK265" s="642">
        <v>105.1948604625895</v>
      </c>
      <c r="AL265" s="641">
        <v>104.86113485125321</v>
      </c>
      <c r="AM265" s="638">
        <v>12</v>
      </c>
      <c r="AN265" s="638">
        <v>1000000</v>
      </c>
      <c r="AO265" s="638">
        <v>0.12</v>
      </c>
      <c r="AP265" s="643">
        <f>AE265*AH265*AL265%*AM265/AN265*AO265</f>
        <v>0</v>
      </c>
      <c r="AQ265" s="643">
        <f t="shared" si="116"/>
        <v>0</v>
      </c>
      <c r="AR265" s="643">
        <f t="shared" si="117"/>
        <v>0</v>
      </c>
      <c r="AS265" s="638">
        <v>0.18</v>
      </c>
      <c r="AT265" s="643">
        <f t="shared" si="115"/>
        <v>0</v>
      </c>
    </row>
    <row r="266" spans="1:46" ht="27.75" customHeight="1">
      <c r="A266" s="763">
        <v>3</v>
      </c>
      <c r="B266" s="742" t="s">
        <v>666</v>
      </c>
      <c r="C266" s="742" t="s">
        <v>473</v>
      </c>
      <c r="D266" s="489" t="s">
        <v>273</v>
      </c>
      <c r="E266" s="578">
        <f t="shared" si="136"/>
        <v>35.1466</v>
      </c>
      <c r="F266" s="578"/>
      <c r="G266" s="569">
        <f aca="true" t="shared" si="140" ref="G266:Q266">SUM(G267:G269)</f>
        <v>35.1466</v>
      </c>
      <c r="H266" s="586"/>
      <c r="I266" s="578">
        <f t="shared" si="140"/>
        <v>0</v>
      </c>
      <c r="J266" s="578"/>
      <c r="K266" s="569">
        <f t="shared" si="140"/>
        <v>0</v>
      </c>
      <c r="L266" s="569"/>
      <c r="M266" s="569">
        <f t="shared" si="140"/>
        <v>0</v>
      </c>
      <c r="N266" s="586"/>
      <c r="O266" s="569">
        <f t="shared" si="140"/>
        <v>0</v>
      </c>
      <c r="P266" s="569"/>
      <c r="Q266" s="569">
        <f t="shared" si="140"/>
        <v>0</v>
      </c>
      <c r="R266" s="569"/>
      <c r="S266" s="762" t="s">
        <v>584</v>
      </c>
      <c r="T266" s="762" t="s">
        <v>412</v>
      </c>
      <c r="U266" s="493">
        <f>SUM(U267:U269)</f>
        <v>1</v>
      </c>
      <c r="V266" s="493"/>
      <c r="W266" s="577">
        <f>SUM(W267:W269)</f>
        <v>3.8509223597343296</v>
      </c>
      <c r="X266" s="577"/>
      <c r="Y266" s="577">
        <f>SUM(Y267:Y269)</f>
        <v>3.7958327999999995</v>
      </c>
      <c r="Z266" s="577"/>
      <c r="AA266" s="577">
        <f>SUM(AA267:AA269)</f>
        <v>0.029864050331980294</v>
      </c>
      <c r="AB266" s="577"/>
      <c r="AC266" s="577">
        <f>SUM(AC267:AC269)</f>
        <v>0.025225509402349702</v>
      </c>
      <c r="AD266" s="700"/>
      <c r="AF266" s="518"/>
      <c r="AG266" s="518"/>
      <c r="AH266" s="512">
        <v>36012</v>
      </c>
      <c r="AJ266" s="513">
        <v>106.23302983559877</v>
      </c>
      <c r="AK266" s="514">
        <v>105.1948604625895</v>
      </c>
      <c r="AL266" s="513">
        <v>104.86113485125321</v>
      </c>
      <c r="AM266" s="512">
        <v>12</v>
      </c>
      <c r="AN266" s="512">
        <v>1000000</v>
      </c>
      <c r="AO266" s="512">
        <v>0.12</v>
      </c>
      <c r="AP266" s="523">
        <f>AE266*AH266*AJ266%*AM266/AN266*AO266</f>
        <v>0</v>
      </c>
      <c r="AQ266" s="523">
        <f t="shared" si="116"/>
        <v>0</v>
      </c>
      <c r="AR266" s="523">
        <f t="shared" si="117"/>
        <v>0</v>
      </c>
      <c r="AS266" s="512">
        <v>0.18</v>
      </c>
      <c r="AT266" s="523">
        <f t="shared" si="115"/>
        <v>3.7958327999999995</v>
      </c>
    </row>
    <row r="267" spans="1:46" ht="27.75" customHeight="1">
      <c r="A267" s="763"/>
      <c r="B267" s="742"/>
      <c r="C267" s="742"/>
      <c r="D267" s="489">
        <v>2013</v>
      </c>
      <c r="E267" s="578">
        <f t="shared" si="136"/>
        <v>35.1466</v>
      </c>
      <c r="F267" s="578"/>
      <c r="G267" s="569">
        <v>35.1466</v>
      </c>
      <c r="H267" s="586"/>
      <c r="I267" s="578">
        <v>0</v>
      </c>
      <c r="J267" s="578"/>
      <c r="K267" s="569">
        <v>0</v>
      </c>
      <c r="L267" s="569"/>
      <c r="M267" s="569">
        <v>0</v>
      </c>
      <c r="N267" s="586"/>
      <c r="O267" s="569">
        <v>0</v>
      </c>
      <c r="P267" s="569"/>
      <c r="Q267" s="569">
        <v>0</v>
      </c>
      <c r="R267" s="569"/>
      <c r="S267" s="762"/>
      <c r="T267" s="762"/>
      <c r="U267" s="493">
        <f>AE267</f>
        <v>1</v>
      </c>
      <c r="V267" s="493"/>
      <c r="W267" s="577">
        <f>SUM(Y267:AC267)</f>
        <v>3.8509223597343296</v>
      </c>
      <c r="X267" s="577"/>
      <c r="Y267" s="577">
        <f>AT267</f>
        <v>3.7958327999999995</v>
      </c>
      <c r="Z267" s="577"/>
      <c r="AA267" s="577">
        <f>AR267</f>
        <v>0.029864050331980294</v>
      </c>
      <c r="AB267" s="577"/>
      <c r="AC267" s="577">
        <f>AQ267</f>
        <v>0.025225509402349702</v>
      </c>
      <c r="AD267" s="700"/>
      <c r="AE267" s="512">
        <f t="shared" si="139"/>
        <v>1</v>
      </c>
      <c r="AF267" s="520">
        <v>0</v>
      </c>
      <c r="AG267" s="512">
        <v>1</v>
      </c>
      <c r="AH267" s="512">
        <v>36012</v>
      </c>
      <c r="AJ267" s="513">
        <v>106.23302983559877</v>
      </c>
      <c r="AK267" s="514">
        <v>105.1948604625895</v>
      </c>
      <c r="AL267" s="513">
        <v>104.86113485125321</v>
      </c>
      <c r="AM267" s="512">
        <v>12</v>
      </c>
      <c r="AN267" s="512">
        <v>1000000</v>
      </c>
      <c r="AO267" s="512">
        <v>0.12</v>
      </c>
      <c r="AP267" s="523">
        <f>AE267*AH267*AJ267%*AM267/AN267*AO267</f>
        <v>0.055089559734329996</v>
      </c>
      <c r="AQ267" s="523">
        <f t="shared" si="116"/>
        <v>0.025225509402349702</v>
      </c>
      <c r="AR267" s="523">
        <f t="shared" si="117"/>
        <v>0.029864050331980294</v>
      </c>
      <c r="AS267" s="512">
        <v>0.18</v>
      </c>
      <c r="AT267" s="523">
        <f t="shared" si="115"/>
        <v>3.7958327999999995</v>
      </c>
    </row>
    <row r="268" spans="1:46" ht="27.75" customHeight="1">
      <c r="A268" s="763"/>
      <c r="B268" s="742"/>
      <c r="C268" s="742"/>
      <c r="D268" s="489">
        <v>2014</v>
      </c>
      <c r="E268" s="578">
        <v>0</v>
      </c>
      <c r="F268" s="578">
        <v>2</v>
      </c>
      <c r="G268" s="569">
        <v>0</v>
      </c>
      <c r="H268" s="586">
        <v>2</v>
      </c>
      <c r="I268" s="578">
        <v>0</v>
      </c>
      <c r="J268" s="578"/>
      <c r="K268" s="569">
        <v>0</v>
      </c>
      <c r="L268" s="569"/>
      <c r="M268" s="569">
        <v>0</v>
      </c>
      <c r="N268" s="586"/>
      <c r="O268" s="569">
        <v>0</v>
      </c>
      <c r="P268" s="569"/>
      <c r="Q268" s="569">
        <v>0</v>
      </c>
      <c r="R268" s="569"/>
      <c r="S268" s="762"/>
      <c r="T268" s="762"/>
      <c r="U268" s="493">
        <f>AE268</f>
        <v>0</v>
      </c>
      <c r="V268" s="493"/>
      <c r="W268" s="577">
        <v>0</v>
      </c>
      <c r="X268" s="577"/>
      <c r="Y268" s="577">
        <v>0</v>
      </c>
      <c r="Z268" s="577"/>
      <c r="AA268" s="577">
        <f>AR268</f>
        <v>0</v>
      </c>
      <c r="AB268" s="577"/>
      <c r="AC268" s="577">
        <f>AQ268</f>
        <v>0</v>
      </c>
      <c r="AD268" s="700"/>
      <c r="AE268" s="512">
        <f t="shared" si="139"/>
        <v>0</v>
      </c>
      <c r="AF268" s="520">
        <v>0</v>
      </c>
      <c r="AH268" s="512">
        <v>36012</v>
      </c>
      <c r="AJ268" s="513">
        <v>106.23302983559877</v>
      </c>
      <c r="AK268" s="514">
        <v>105.1948604625895</v>
      </c>
      <c r="AL268" s="513">
        <v>104.86113485125321</v>
      </c>
      <c r="AM268" s="512">
        <v>12</v>
      </c>
      <c r="AN268" s="512">
        <v>1000000</v>
      </c>
      <c r="AO268" s="512">
        <v>0.12</v>
      </c>
      <c r="AP268" s="523">
        <f>AE268*AH268*AK268%*AM268/AN268*AO268</f>
        <v>0</v>
      </c>
      <c r="AQ268" s="523">
        <f t="shared" si="116"/>
        <v>0</v>
      </c>
      <c r="AR268" s="523">
        <f t="shared" si="117"/>
        <v>0</v>
      </c>
      <c r="AS268" s="512">
        <v>0.18</v>
      </c>
      <c r="AT268" s="523">
        <f t="shared" si="115"/>
        <v>0</v>
      </c>
    </row>
    <row r="269" spans="1:46" s="644" customFormat="1" ht="27.75" customHeight="1">
      <c r="A269" s="763"/>
      <c r="B269" s="742"/>
      <c r="C269" s="742"/>
      <c r="D269" s="633">
        <v>2015</v>
      </c>
      <c r="E269" s="650">
        <v>0</v>
      </c>
      <c r="F269" s="650">
        <v>30.6</v>
      </c>
      <c r="G269" s="634">
        <v>0</v>
      </c>
      <c r="H269" s="667">
        <v>30.6</v>
      </c>
      <c r="I269" s="650">
        <v>0</v>
      </c>
      <c r="J269" s="650"/>
      <c r="K269" s="634">
        <v>0</v>
      </c>
      <c r="L269" s="634"/>
      <c r="M269" s="634">
        <v>0</v>
      </c>
      <c r="N269" s="667"/>
      <c r="O269" s="634">
        <v>0</v>
      </c>
      <c r="P269" s="634"/>
      <c r="Q269" s="634">
        <v>0</v>
      </c>
      <c r="R269" s="634"/>
      <c r="S269" s="762"/>
      <c r="T269" s="762"/>
      <c r="U269" s="637">
        <f>AE269</f>
        <v>0</v>
      </c>
      <c r="V269" s="637" t="s">
        <v>835</v>
      </c>
      <c r="W269" s="646">
        <f>SUM(Y269:AC269)</f>
        <v>0</v>
      </c>
      <c r="X269" s="646">
        <v>5.87</v>
      </c>
      <c r="Y269" s="646">
        <f>AT269</f>
        <v>0</v>
      </c>
      <c r="Z269" s="646"/>
      <c r="AA269" s="646">
        <f>AR269</f>
        <v>0</v>
      </c>
      <c r="AB269" s="646"/>
      <c r="AC269" s="646">
        <f>AQ269</f>
        <v>0</v>
      </c>
      <c r="AD269" s="701"/>
      <c r="AE269" s="638">
        <f t="shared" si="139"/>
        <v>0</v>
      </c>
      <c r="AF269" s="639">
        <v>0</v>
      </c>
      <c r="AG269" s="638"/>
      <c r="AH269" s="638">
        <v>36012</v>
      </c>
      <c r="AI269" s="638"/>
      <c r="AJ269" s="641">
        <v>106.23302983559877</v>
      </c>
      <c r="AK269" s="642">
        <v>105.1948604625895</v>
      </c>
      <c r="AL269" s="641">
        <v>104.86113485125321</v>
      </c>
      <c r="AM269" s="638">
        <v>12</v>
      </c>
      <c r="AN269" s="638">
        <v>1000000</v>
      </c>
      <c r="AO269" s="638">
        <v>0.12</v>
      </c>
      <c r="AP269" s="643">
        <f>AE269*AH269*AL269%*AM269/AN269*AO269</f>
        <v>0</v>
      </c>
      <c r="AQ269" s="643">
        <f t="shared" si="116"/>
        <v>0</v>
      </c>
      <c r="AR269" s="643">
        <f t="shared" si="117"/>
        <v>0</v>
      </c>
      <c r="AS269" s="638">
        <v>0.18</v>
      </c>
      <c r="AT269" s="643">
        <f t="shared" si="115"/>
        <v>0</v>
      </c>
    </row>
    <row r="270" spans="1:46" ht="27.75" customHeight="1">
      <c r="A270" s="763">
        <v>4</v>
      </c>
      <c r="B270" s="742" t="s">
        <v>502</v>
      </c>
      <c r="C270" s="742" t="s">
        <v>473</v>
      </c>
      <c r="D270" s="489" t="s">
        <v>273</v>
      </c>
      <c r="E270" s="578">
        <f t="shared" si="136"/>
        <v>29.38</v>
      </c>
      <c r="F270" s="578"/>
      <c r="G270" s="569">
        <f aca="true" t="shared" si="141" ref="G270:Q270">SUM(G271:G273)</f>
        <v>29.38</v>
      </c>
      <c r="H270" s="586"/>
      <c r="I270" s="578">
        <f t="shared" si="141"/>
        <v>0</v>
      </c>
      <c r="J270" s="578"/>
      <c r="K270" s="569">
        <f t="shared" si="141"/>
        <v>0</v>
      </c>
      <c r="L270" s="569"/>
      <c r="M270" s="569">
        <f t="shared" si="141"/>
        <v>0</v>
      </c>
      <c r="N270" s="586"/>
      <c r="O270" s="569">
        <f t="shared" si="141"/>
        <v>0</v>
      </c>
      <c r="P270" s="569"/>
      <c r="Q270" s="569">
        <f t="shared" si="141"/>
        <v>0</v>
      </c>
      <c r="R270" s="569"/>
      <c r="S270" s="762" t="s">
        <v>584</v>
      </c>
      <c r="T270" s="762" t="s">
        <v>412</v>
      </c>
      <c r="U270" s="493">
        <f>SUM(U271:U273)</f>
        <v>1</v>
      </c>
      <c r="V270" s="493"/>
      <c r="W270" s="577">
        <f>SUM(W271:W273)</f>
        <v>3.22812955973433</v>
      </c>
      <c r="X270" s="577"/>
      <c r="Y270" s="577">
        <f>SUM(Y271:Y273)</f>
        <v>3.17304</v>
      </c>
      <c r="Z270" s="577"/>
      <c r="AA270" s="577">
        <f>SUM(AA271:AA273)</f>
        <v>0.029864050331980294</v>
      </c>
      <c r="AB270" s="577"/>
      <c r="AC270" s="577">
        <f>SUM(AC271:AC273)</f>
        <v>0.025225509402349702</v>
      </c>
      <c r="AD270" s="700"/>
      <c r="AF270" s="518"/>
      <c r="AG270" s="518"/>
      <c r="AH270" s="512">
        <v>36012</v>
      </c>
      <c r="AJ270" s="513">
        <v>106.23302983559877</v>
      </c>
      <c r="AK270" s="514">
        <v>105.1948604625895</v>
      </c>
      <c r="AL270" s="513">
        <v>104.86113485125321</v>
      </c>
      <c r="AM270" s="512">
        <v>12</v>
      </c>
      <c r="AN270" s="512">
        <v>1000000</v>
      </c>
      <c r="AO270" s="512">
        <v>0.12</v>
      </c>
      <c r="AP270" s="523">
        <f>AE270*AH270*AJ270%*AM270/AN270*AO270</f>
        <v>0</v>
      </c>
      <c r="AQ270" s="523">
        <f t="shared" si="116"/>
        <v>0</v>
      </c>
      <c r="AR270" s="523">
        <f t="shared" si="117"/>
        <v>0</v>
      </c>
      <c r="AS270" s="512">
        <v>0.18</v>
      </c>
      <c r="AT270" s="523">
        <f t="shared" si="115"/>
        <v>3.17304</v>
      </c>
    </row>
    <row r="271" spans="1:46" ht="27.75" customHeight="1">
      <c r="A271" s="763"/>
      <c r="B271" s="742"/>
      <c r="C271" s="742"/>
      <c r="D271" s="489">
        <v>2013</v>
      </c>
      <c r="E271" s="578">
        <f>G271+I271+K271+M271+O271+Q271</f>
        <v>29.38</v>
      </c>
      <c r="F271" s="578">
        <v>29.2</v>
      </c>
      <c r="G271" s="569">
        <v>29.38</v>
      </c>
      <c r="H271" s="586">
        <v>29.2</v>
      </c>
      <c r="I271" s="578">
        <v>0</v>
      </c>
      <c r="J271" s="578"/>
      <c r="K271" s="569">
        <v>0</v>
      </c>
      <c r="L271" s="569"/>
      <c r="M271" s="569">
        <v>0</v>
      </c>
      <c r="N271" s="586"/>
      <c r="O271" s="569">
        <v>0</v>
      </c>
      <c r="P271" s="569"/>
      <c r="Q271" s="569">
        <v>0</v>
      </c>
      <c r="R271" s="569"/>
      <c r="S271" s="762"/>
      <c r="T271" s="762"/>
      <c r="U271" s="493">
        <f>AE271</f>
        <v>1</v>
      </c>
      <c r="V271" s="493" t="s">
        <v>804</v>
      </c>
      <c r="W271" s="577">
        <f>SUM(Y271:AC271)</f>
        <v>3.22812955973433</v>
      </c>
      <c r="X271" s="577"/>
      <c r="Y271" s="577">
        <f>AT271</f>
        <v>3.17304</v>
      </c>
      <c r="Z271" s="577"/>
      <c r="AA271" s="577">
        <f>AR271</f>
        <v>0.029864050331980294</v>
      </c>
      <c r="AB271" s="577"/>
      <c r="AC271" s="577">
        <f>AQ271</f>
        <v>0.025225509402349702</v>
      </c>
      <c r="AD271" s="700"/>
      <c r="AE271" s="512">
        <f t="shared" si="139"/>
        <v>1</v>
      </c>
      <c r="AF271" s="520">
        <v>0</v>
      </c>
      <c r="AG271" s="512">
        <v>1</v>
      </c>
      <c r="AH271" s="512">
        <v>36012</v>
      </c>
      <c r="AJ271" s="513">
        <v>106.23302983559877</v>
      </c>
      <c r="AK271" s="514">
        <v>105.1948604625895</v>
      </c>
      <c r="AL271" s="513">
        <v>104.86113485125321</v>
      </c>
      <c r="AM271" s="512">
        <v>12</v>
      </c>
      <c r="AN271" s="512">
        <v>1000000</v>
      </c>
      <c r="AO271" s="512">
        <v>0.12</v>
      </c>
      <c r="AP271" s="523">
        <f>AE271*AH271*AJ271%*AM271/AN271*AO271</f>
        <v>0.055089559734329996</v>
      </c>
      <c r="AQ271" s="523">
        <f t="shared" si="116"/>
        <v>0.025225509402349702</v>
      </c>
      <c r="AR271" s="523">
        <f t="shared" si="117"/>
        <v>0.029864050331980294</v>
      </c>
      <c r="AS271" s="512">
        <v>0.18</v>
      </c>
      <c r="AT271" s="523">
        <f t="shared" si="115"/>
        <v>3.17304</v>
      </c>
    </row>
    <row r="272" spans="1:46" ht="27.75" customHeight="1">
      <c r="A272" s="763"/>
      <c r="B272" s="742"/>
      <c r="C272" s="742"/>
      <c r="D272" s="489">
        <v>2014</v>
      </c>
      <c r="E272" s="578">
        <f t="shared" si="136"/>
        <v>0</v>
      </c>
      <c r="F272" s="578"/>
      <c r="G272" s="569">
        <v>0</v>
      </c>
      <c r="H272" s="586"/>
      <c r="I272" s="578">
        <v>0</v>
      </c>
      <c r="J272" s="578"/>
      <c r="K272" s="569">
        <v>0</v>
      </c>
      <c r="L272" s="569"/>
      <c r="M272" s="569">
        <v>0</v>
      </c>
      <c r="N272" s="586"/>
      <c r="O272" s="569">
        <v>0</v>
      </c>
      <c r="P272" s="569"/>
      <c r="Q272" s="569">
        <v>0</v>
      </c>
      <c r="R272" s="569"/>
      <c r="S272" s="762"/>
      <c r="T272" s="762"/>
      <c r="U272" s="493">
        <f>AE272</f>
        <v>0</v>
      </c>
      <c r="V272" s="493"/>
      <c r="W272" s="577">
        <f>SUM(Y272:AC272)</f>
        <v>0</v>
      </c>
      <c r="X272" s="577"/>
      <c r="Y272" s="577">
        <f>AT272</f>
        <v>0</v>
      </c>
      <c r="Z272" s="577"/>
      <c r="AA272" s="577">
        <f>AR272</f>
        <v>0</v>
      </c>
      <c r="AB272" s="577"/>
      <c r="AC272" s="577">
        <f>AQ272</f>
        <v>0</v>
      </c>
      <c r="AD272" s="700"/>
      <c r="AE272" s="512">
        <f t="shared" si="139"/>
        <v>0</v>
      </c>
      <c r="AF272" s="520">
        <v>0</v>
      </c>
      <c r="AH272" s="512">
        <v>36012</v>
      </c>
      <c r="AJ272" s="513">
        <v>106.23302983559877</v>
      </c>
      <c r="AK272" s="514">
        <v>105.1948604625895</v>
      </c>
      <c r="AL272" s="513">
        <v>104.86113485125321</v>
      </c>
      <c r="AM272" s="512">
        <v>12</v>
      </c>
      <c r="AN272" s="512">
        <v>1000000</v>
      </c>
      <c r="AO272" s="512">
        <v>0.12</v>
      </c>
      <c r="AP272" s="523">
        <f>AE272*AH272*AK272%*AM272/AN272*AO272</f>
        <v>0</v>
      </c>
      <c r="AQ272" s="523">
        <f t="shared" si="116"/>
        <v>0</v>
      </c>
      <c r="AR272" s="523">
        <f t="shared" si="117"/>
        <v>0</v>
      </c>
      <c r="AS272" s="512">
        <v>0.18</v>
      </c>
      <c r="AT272" s="523">
        <f t="shared" si="115"/>
        <v>0</v>
      </c>
    </row>
    <row r="273" spans="1:46" s="644" customFormat="1" ht="27.75" customHeight="1">
      <c r="A273" s="763"/>
      <c r="B273" s="742"/>
      <c r="C273" s="742"/>
      <c r="D273" s="633">
        <v>2015</v>
      </c>
      <c r="E273" s="650">
        <f t="shared" si="136"/>
        <v>0</v>
      </c>
      <c r="F273" s="650">
        <v>0</v>
      </c>
      <c r="G273" s="634">
        <v>0</v>
      </c>
      <c r="H273" s="667">
        <v>0</v>
      </c>
      <c r="I273" s="650">
        <v>0</v>
      </c>
      <c r="J273" s="650"/>
      <c r="K273" s="634">
        <v>0</v>
      </c>
      <c r="L273" s="634"/>
      <c r="M273" s="634">
        <v>0</v>
      </c>
      <c r="N273" s="667"/>
      <c r="O273" s="634">
        <v>0</v>
      </c>
      <c r="P273" s="634"/>
      <c r="Q273" s="634">
        <v>0</v>
      </c>
      <c r="R273" s="634"/>
      <c r="S273" s="762"/>
      <c r="T273" s="762"/>
      <c r="U273" s="637">
        <f>AE273</f>
        <v>0</v>
      </c>
      <c r="V273" s="637"/>
      <c r="W273" s="646">
        <f>SUM(Y273:AC273)</f>
        <v>0</v>
      </c>
      <c r="X273" s="646"/>
      <c r="Y273" s="646">
        <f>AT273</f>
        <v>0</v>
      </c>
      <c r="Z273" s="646"/>
      <c r="AA273" s="646">
        <f>AR273</f>
        <v>0</v>
      </c>
      <c r="AB273" s="646"/>
      <c r="AC273" s="646">
        <f>AQ273</f>
        <v>0</v>
      </c>
      <c r="AD273" s="701"/>
      <c r="AE273" s="638">
        <f t="shared" si="139"/>
        <v>0</v>
      </c>
      <c r="AF273" s="639">
        <v>0</v>
      </c>
      <c r="AG273" s="638"/>
      <c r="AH273" s="638">
        <v>36012</v>
      </c>
      <c r="AI273" s="638"/>
      <c r="AJ273" s="641">
        <v>106.23302983559877</v>
      </c>
      <c r="AK273" s="642">
        <v>105.1948604625895</v>
      </c>
      <c r="AL273" s="641">
        <v>104.86113485125321</v>
      </c>
      <c r="AM273" s="638">
        <v>12</v>
      </c>
      <c r="AN273" s="638">
        <v>1000000</v>
      </c>
      <c r="AO273" s="638">
        <v>0.12</v>
      </c>
      <c r="AP273" s="643">
        <f>AE273*AH273*AL273%*AM273/AN273*AO273</f>
        <v>0</v>
      </c>
      <c r="AQ273" s="643">
        <f t="shared" si="116"/>
        <v>0</v>
      </c>
      <c r="AR273" s="643">
        <f t="shared" si="117"/>
        <v>0</v>
      </c>
      <c r="AS273" s="638">
        <v>0.18</v>
      </c>
      <c r="AT273" s="643">
        <f t="shared" si="115"/>
        <v>0</v>
      </c>
    </row>
    <row r="274" spans="1:46" ht="27.75" customHeight="1">
      <c r="A274" s="763">
        <v>5</v>
      </c>
      <c r="B274" s="742" t="s">
        <v>499</v>
      </c>
      <c r="C274" s="742" t="s">
        <v>473</v>
      </c>
      <c r="D274" s="489" t="s">
        <v>273</v>
      </c>
      <c r="E274" s="578">
        <f t="shared" si="136"/>
        <v>34.969</v>
      </c>
      <c r="F274" s="578"/>
      <c r="G274" s="569">
        <f aca="true" t="shared" si="142" ref="G274:Q274">SUM(G275:G277)</f>
        <v>34.969</v>
      </c>
      <c r="H274" s="586"/>
      <c r="I274" s="578">
        <f t="shared" si="142"/>
        <v>0</v>
      </c>
      <c r="J274" s="578"/>
      <c r="K274" s="569">
        <f t="shared" si="142"/>
        <v>0</v>
      </c>
      <c r="L274" s="569"/>
      <c r="M274" s="569">
        <f t="shared" si="142"/>
        <v>0</v>
      </c>
      <c r="N274" s="586"/>
      <c r="O274" s="569">
        <f t="shared" si="142"/>
        <v>0</v>
      </c>
      <c r="P274" s="569"/>
      <c r="Q274" s="569">
        <f t="shared" si="142"/>
        <v>0</v>
      </c>
      <c r="R274" s="569"/>
      <c r="S274" s="762" t="s">
        <v>584</v>
      </c>
      <c r="T274" s="762" t="s">
        <v>412</v>
      </c>
      <c r="U274" s="493">
        <f>SUM(U275:U277)</f>
        <v>0</v>
      </c>
      <c r="V274" s="493"/>
      <c r="W274" s="577">
        <f>SUM(W275:W277)</f>
        <v>3.776652</v>
      </c>
      <c r="X274" s="577"/>
      <c r="Y274" s="577">
        <f>SUM(Y275:Y277)</f>
        <v>3.776652</v>
      </c>
      <c r="Z274" s="577"/>
      <c r="AA274" s="577">
        <f>SUM(AA275:AA277)</f>
        <v>0</v>
      </c>
      <c r="AB274" s="577"/>
      <c r="AC274" s="577">
        <f>SUM(AC275:AC277)</f>
        <v>0</v>
      </c>
      <c r="AD274" s="700"/>
      <c r="AF274" s="518"/>
      <c r="AG274" s="518"/>
      <c r="AH274" s="512">
        <v>36012</v>
      </c>
      <c r="AJ274" s="513">
        <v>106.23302983559877</v>
      </c>
      <c r="AK274" s="514">
        <v>105.1948604625895</v>
      </c>
      <c r="AL274" s="513">
        <v>104.86113485125321</v>
      </c>
      <c r="AM274" s="512">
        <v>12</v>
      </c>
      <c r="AN274" s="512">
        <v>1000000</v>
      </c>
      <c r="AO274" s="512">
        <v>0.12</v>
      </c>
      <c r="AP274" s="523">
        <f>AE274*AH274*AJ274%*AM274/AN274*AO274</f>
        <v>0</v>
      </c>
      <c r="AQ274" s="523">
        <f t="shared" si="116"/>
        <v>0</v>
      </c>
      <c r="AR274" s="523">
        <f t="shared" si="117"/>
        <v>0</v>
      </c>
      <c r="AS274" s="512">
        <v>0.18</v>
      </c>
      <c r="AT274" s="523">
        <f t="shared" si="115"/>
        <v>3.776652</v>
      </c>
    </row>
    <row r="275" spans="1:46" ht="27.75" customHeight="1">
      <c r="A275" s="763"/>
      <c r="B275" s="742"/>
      <c r="C275" s="742"/>
      <c r="D275" s="489">
        <v>2013</v>
      </c>
      <c r="E275" s="578">
        <f>G275+I275+K275+M275+O275+Q275</f>
        <v>34.969</v>
      </c>
      <c r="F275" s="578">
        <v>23.004</v>
      </c>
      <c r="G275" s="569">
        <v>34.969</v>
      </c>
      <c r="H275" s="586">
        <v>23.004</v>
      </c>
      <c r="I275" s="578">
        <v>0</v>
      </c>
      <c r="J275" s="578"/>
      <c r="K275" s="569">
        <v>0</v>
      </c>
      <c r="L275" s="569"/>
      <c r="M275" s="569">
        <v>0</v>
      </c>
      <c r="N275" s="586"/>
      <c r="O275" s="569">
        <v>0</v>
      </c>
      <c r="P275" s="569"/>
      <c r="Q275" s="569">
        <v>0</v>
      </c>
      <c r="R275" s="569"/>
      <c r="S275" s="762"/>
      <c r="T275" s="762"/>
      <c r="U275" s="493">
        <f>AE275</f>
        <v>0</v>
      </c>
      <c r="V275" s="493"/>
      <c r="W275" s="577">
        <f>SUM(Y275:AC275)</f>
        <v>3.776652</v>
      </c>
      <c r="X275" s="577"/>
      <c r="Y275" s="577">
        <f>AT275</f>
        <v>3.776652</v>
      </c>
      <c r="Z275" s="577"/>
      <c r="AA275" s="577">
        <f>AR275</f>
        <v>0</v>
      </c>
      <c r="AB275" s="577"/>
      <c r="AC275" s="577">
        <f>AQ275</f>
        <v>0</v>
      </c>
      <c r="AD275" s="700"/>
      <c r="AE275" s="512">
        <f t="shared" si="139"/>
        <v>0</v>
      </c>
      <c r="AF275" s="520">
        <v>0</v>
      </c>
      <c r="AH275" s="512">
        <v>36012</v>
      </c>
      <c r="AJ275" s="513">
        <v>106.23302983559877</v>
      </c>
      <c r="AK275" s="514">
        <v>105.1948604625895</v>
      </c>
      <c r="AL275" s="513">
        <v>104.86113485125321</v>
      </c>
      <c r="AM275" s="512">
        <v>12</v>
      </c>
      <c r="AN275" s="512">
        <v>1000000</v>
      </c>
      <c r="AO275" s="512">
        <v>0.12</v>
      </c>
      <c r="AP275" s="523">
        <f>AE275*AH275*AJ275%*AM275/AN275*AO275</f>
        <v>0</v>
      </c>
      <c r="AQ275" s="523">
        <f t="shared" si="116"/>
        <v>0</v>
      </c>
      <c r="AR275" s="523">
        <f t="shared" si="117"/>
        <v>0</v>
      </c>
      <c r="AS275" s="512">
        <v>0.18</v>
      </c>
      <c r="AT275" s="523">
        <f t="shared" si="115"/>
        <v>3.776652</v>
      </c>
    </row>
    <row r="276" spans="1:46" ht="27.75" customHeight="1">
      <c r="A276" s="763"/>
      <c r="B276" s="742"/>
      <c r="C276" s="742"/>
      <c r="D276" s="489">
        <v>2014</v>
      </c>
      <c r="E276" s="578">
        <v>0</v>
      </c>
      <c r="F276" s="578">
        <v>10</v>
      </c>
      <c r="G276" s="569">
        <v>0</v>
      </c>
      <c r="H276" s="586">
        <v>10</v>
      </c>
      <c r="I276" s="578">
        <v>0</v>
      </c>
      <c r="J276" s="578"/>
      <c r="K276" s="569">
        <v>0</v>
      </c>
      <c r="L276" s="569"/>
      <c r="M276" s="569">
        <v>0</v>
      </c>
      <c r="N276" s="586"/>
      <c r="O276" s="569">
        <v>0</v>
      </c>
      <c r="P276" s="569"/>
      <c r="Q276" s="569">
        <v>0</v>
      </c>
      <c r="R276" s="569"/>
      <c r="S276" s="762"/>
      <c r="T276" s="762"/>
      <c r="U276" s="493">
        <f>AE276</f>
        <v>0</v>
      </c>
      <c r="V276" s="493"/>
      <c r="W276" s="577">
        <f>SUM(Y276:AC276)</f>
        <v>0</v>
      </c>
      <c r="X276" s="577"/>
      <c r="Y276" s="577">
        <f>AT276</f>
        <v>0</v>
      </c>
      <c r="Z276" s="577"/>
      <c r="AA276" s="577">
        <f>AR276</f>
        <v>0</v>
      </c>
      <c r="AB276" s="577"/>
      <c r="AC276" s="577">
        <f>AQ276</f>
        <v>0</v>
      </c>
      <c r="AD276" s="700"/>
      <c r="AE276" s="512">
        <f t="shared" si="139"/>
        <v>0</v>
      </c>
      <c r="AF276" s="520">
        <v>0</v>
      </c>
      <c r="AH276" s="512">
        <v>36012</v>
      </c>
      <c r="AJ276" s="513">
        <v>106.23302983559877</v>
      </c>
      <c r="AK276" s="514">
        <v>105.1948604625895</v>
      </c>
      <c r="AL276" s="513">
        <v>104.86113485125321</v>
      </c>
      <c r="AM276" s="512">
        <v>12</v>
      </c>
      <c r="AN276" s="512">
        <v>1000000</v>
      </c>
      <c r="AO276" s="512">
        <v>0.12</v>
      </c>
      <c r="AP276" s="523">
        <f>AE276*AH276*AK276%*AM276/AN276*AO276</f>
        <v>0</v>
      </c>
      <c r="AQ276" s="523">
        <f t="shared" si="116"/>
        <v>0</v>
      </c>
      <c r="AR276" s="523">
        <f t="shared" si="117"/>
        <v>0</v>
      </c>
      <c r="AS276" s="512">
        <v>0.18</v>
      </c>
      <c r="AT276" s="523">
        <f t="shared" si="115"/>
        <v>0</v>
      </c>
    </row>
    <row r="277" spans="1:46" s="644" customFormat="1" ht="27.75" customHeight="1">
      <c r="A277" s="763"/>
      <c r="B277" s="742"/>
      <c r="C277" s="742"/>
      <c r="D277" s="633">
        <v>2015</v>
      </c>
      <c r="E277" s="650">
        <f t="shared" si="136"/>
        <v>0</v>
      </c>
      <c r="F277" s="650">
        <v>0</v>
      </c>
      <c r="G277" s="634">
        <v>0</v>
      </c>
      <c r="H277" s="667">
        <v>0</v>
      </c>
      <c r="I277" s="650">
        <v>0</v>
      </c>
      <c r="J277" s="650"/>
      <c r="K277" s="634">
        <v>0</v>
      </c>
      <c r="L277" s="634"/>
      <c r="M277" s="634">
        <v>0</v>
      </c>
      <c r="N277" s="667"/>
      <c r="O277" s="634">
        <v>0</v>
      </c>
      <c r="P277" s="634"/>
      <c r="Q277" s="634">
        <v>0</v>
      </c>
      <c r="R277" s="634"/>
      <c r="S277" s="762"/>
      <c r="T277" s="762"/>
      <c r="U277" s="637">
        <f>AE277</f>
        <v>0</v>
      </c>
      <c r="V277" s="637"/>
      <c r="W277" s="646">
        <f>SUM(Y277:AC277)</f>
        <v>0</v>
      </c>
      <c r="X277" s="646"/>
      <c r="Y277" s="646">
        <f>AT277</f>
        <v>0</v>
      </c>
      <c r="Z277" s="646"/>
      <c r="AA277" s="646">
        <f>AR277</f>
        <v>0</v>
      </c>
      <c r="AB277" s="646"/>
      <c r="AC277" s="646">
        <f>AQ277</f>
        <v>0</v>
      </c>
      <c r="AD277" s="701"/>
      <c r="AE277" s="638">
        <f t="shared" si="139"/>
        <v>0</v>
      </c>
      <c r="AF277" s="639">
        <v>0</v>
      </c>
      <c r="AG277" s="638"/>
      <c r="AH277" s="638">
        <v>36012</v>
      </c>
      <c r="AI277" s="638"/>
      <c r="AJ277" s="641">
        <v>106.23302983559877</v>
      </c>
      <c r="AK277" s="642">
        <v>105.1948604625895</v>
      </c>
      <c r="AL277" s="641">
        <v>104.86113485125321</v>
      </c>
      <c r="AM277" s="638">
        <v>12</v>
      </c>
      <c r="AN277" s="638">
        <v>1000000</v>
      </c>
      <c r="AO277" s="638">
        <v>0.12</v>
      </c>
      <c r="AP277" s="643">
        <f>AE277*AH277*AL277%*AM277/AN277*AO277</f>
        <v>0</v>
      </c>
      <c r="AQ277" s="643">
        <f t="shared" si="116"/>
        <v>0</v>
      </c>
      <c r="AR277" s="643">
        <f t="shared" si="117"/>
        <v>0</v>
      </c>
      <c r="AS277" s="638">
        <v>0.18</v>
      </c>
      <c r="AT277" s="643">
        <f t="shared" si="115"/>
        <v>0</v>
      </c>
    </row>
    <row r="278" spans="1:46" ht="27.75" customHeight="1">
      <c r="A278" s="763">
        <v>6</v>
      </c>
      <c r="B278" s="742" t="s">
        <v>495</v>
      </c>
      <c r="C278" s="742" t="s">
        <v>473</v>
      </c>
      <c r="D278" s="489" t="s">
        <v>273</v>
      </c>
      <c r="E278" s="578">
        <f t="shared" si="136"/>
        <v>275</v>
      </c>
      <c r="F278" s="578"/>
      <c r="G278" s="569">
        <f aca="true" t="shared" si="143" ref="G278:Q278">SUM(G279:G281)</f>
        <v>275</v>
      </c>
      <c r="H278" s="586"/>
      <c r="I278" s="578">
        <f t="shared" si="143"/>
        <v>0</v>
      </c>
      <c r="J278" s="578"/>
      <c r="K278" s="569">
        <f t="shared" si="143"/>
        <v>0</v>
      </c>
      <c r="L278" s="569"/>
      <c r="M278" s="569">
        <f t="shared" si="143"/>
        <v>0</v>
      </c>
      <c r="N278" s="586"/>
      <c r="O278" s="569">
        <f t="shared" si="143"/>
        <v>0</v>
      </c>
      <c r="P278" s="569"/>
      <c r="Q278" s="569">
        <f t="shared" si="143"/>
        <v>0</v>
      </c>
      <c r="R278" s="569"/>
      <c r="S278" s="762" t="s">
        <v>411</v>
      </c>
      <c r="T278" s="762" t="s">
        <v>870</v>
      </c>
      <c r="U278" s="493">
        <f>SUM(U279:U281)</f>
        <v>8</v>
      </c>
      <c r="V278" s="493"/>
      <c r="W278" s="577">
        <f>SUM(W279:W281)</f>
        <v>30.136409546685552</v>
      </c>
      <c r="X278" s="577"/>
      <c r="Y278" s="577">
        <f>SUM(Y279:Y281)</f>
        <v>29.7</v>
      </c>
      <c r="Z278" s="577"/>
      <c r="AA278" s="577">
        <f>SUM(AA279:AA281)</f>
        <v>0.23657761525823914</v>
      </c>
      <c r="AB278" s="577"/>
      <c r="AC278" s="577">
        <f>SUM(AC279:AC281)</f>
        <v>0.19983193142731545</v>
      </c>
      <c r="AD278" s="700"/>
      <c r="AF278" s="518"/>
      <c r="AG278" s="518"/>
      <c r="AH278" s="512">
        <v>36012</v>
      </c>
      <c r="AJ278" s="513">
        <v>106.23302983559877</v>
      </c>
      <c r="AK278" s="514">
        <v>105.1948604625895</v>
      </c>
      <c r="AL278" s="513">
        <v>104.86113485125321</v>
      </c>
      <c r="AM278" s="512">
        <v>12</v>
      </c>
      <c r="AN278" s="512">
        <v>1000000</v>
      </c>
      <c r="AO278" s="512">
        <v>0.12</v>
      </c>
      <c r="AP278" s="523">
        <f>AE278*AH278*AJ278%*AM278/AN278*AO278</f>
        <v>0</v>
      </c>
      <c r="AQ278" s="523">
        <f t="shared" si="116"/>
        <v>0</v>
      </c>
      <c r="AR278" s="523">
        <f t="shared" si="117"/>
        <v>0</v>
      </c>
      <c r="AS278" s="512">
        <v>0.18</v>
      </c>
      <c r="AT278" s="523">
        <f aca="true" t="shared" si="144" ref="AT278:AT341">E278*0.6*AS278</f>
        <v>29.7</v>
      </c>
    </row>
    <row r="279" spans="1:46" ht="27.75" customHeight="1">
      <c r="A279" s="763"/>
      <c r="B279" s="742"/>
      <c r="C279" s="742"/>
      <c r="D279" s="489">
        <v>2013</v>
      </c>
      <c r="E279" s="578">
        <f t="shared" si="136"/>
        <v>0</v>
      </c>
      <c r="F279" s="578"/>
      <c r="G279" s="569">
        <v>0</v>
      </c>
      <c r="H279" s="586"/>
      <c r="I279" s="578">
        <v>0</v>
      </c>
      <c r="J279" s="578"/>
      <c r="K279" s="569">
        <v>0</v>
      </c>
      <c r="L279" s="569"/>
      <c r="M279" s="569">
        <v>0</v>
      </c>
      <c r="N279" s="586"/>
      <c r="O279" s="569">
        <v>0</v>
      </c>
      <c r="P279" s="569"/>
      <c r="Q279" s="569">
        <v>0</v>
      </c>
      <c r="R279" s="569"/>
      <c r="S279" s="762"/>
      <c r="T279" s="762"/>
      <c r="U279" s="493">
        <f>AE279</f>
        <v>0</v>
      </c>
      <c r="V279" s="493"/>
      <c r="W279" s="577">
        <f>SUM(Y279:AC279)</f>
        <v>0</v>
      </c>
      <c r="X279" s="577"/>
      <c r="Y279" s="577">
        <f>AT279</f>
        <v>0</v>
      </c>
      <c r="Z279" s="577"/>
      <c r="AA279" s="577">
        <f>AR279</f>
        <v>0</v>
      </c>
      <c r="AB279" s="577"/>
      <c r="AC279" s="577">
        <f>AQ279</f>
        <v>0</v>
      </c>
      <c r="AD279" s="700"/>
      <c r="AE279" s="512">
        <f t="shared" si="139"/>
        <v>0</v>
      </c>
      <c r="AF279" s="520">
        <v>0</v>
      </c>
      <c r="AH279" s="512">
        <v>36012</v>
      </c>
      <c r="AJ279" s="513">
        <v>106.23302983559877</v>
      </c>
      <c r="AK279" s="514">
        <v>105.1948604625895</v>
      </c>
      <c r="AL279" s="513">
        <v>104.86113485125321</v>
      </c>
      <c r="AM279" s="512">
        <v>12</v>
      </c>
      <c r="AN279" s="512">
        <v>1000000</v>
      </c>
      <c r="AO279" s="512">
        <v>0.12</v>
      </c>
      <c r="AP279" s="523">
        <f>AE279*AH279*AJ279%*AM279/AN279*AO279</f>
        <v>0</v>
      </c>
      <c r="AQ279" s="523">
        <f aca="true" t="shared" si="145" ref="AQ279:AQ342">AP279*0.4579</f>
        <v>0</v>
      </c>
      <c r="AR279" s="523">
        <f aca="true" t="shared" si="146" ref="AR279:AR342">AP279-AQ279</f>
        <v>0</v>
      </c>
      <c r="AS279" s="512">
        <v>0.18</v>
      </c>
      <c r="AT279" s="523">
        <f t="shared" si="144"/>
        <v>0</v>
      </c>
    </row>
    <row r="280" spans="1:46" ht="27.75" customHeight="1">
      <c r="A280" s="763"/>
      <c r="B280" s="742"/>
      <c r="C280" s="742"/>
      <c r="D280" s="489">
        <v>2014</v>
      </c>
      <c r="E280" s="578">
        <f t="shared" si="136"/>
        <v>0</v>
      </c>
      <c r="F280" s="578"/>
      <c r="G280" s="569">
        <v>0</v>
      </c>
      <c r="H280" s="586"/>
      <c r="I280" s="578">
        <v>0</v>
      </c>
      <c r="J280" s="578"/>
      <c r="K280" s="569">
        <v>0</v>
      </c>
      <c r="L280" s="569"/>
      <c r="M280" s="569">
        <v>0</v>
      </c>
      <c r="N280" s="586"/>
      <c r="O280" s="569">
        <v>0</v>
      </c>
      <c r="P280" s="569"/>
      <c r="Q280" s="569">
        <v>0</v>
      </c>
      <c r="R280" s="569"/>
      <c r="S280" s="762"/>
      <c r="T280" s="762"/>
      <c r="U280" s="493">
        <f>AE280</f>
        <v>8</v>
      </c>
      <c r="V280" s="493"/>
      <c r="W280" s="577">
        <f>SUM(Y280:AC280)</f>
        <v>0.4364095466855546</v>
      </c>
      <c r="X280" s="577"/>
      <c r="Y280" s="577">
        <f>AT280</f>
        <v>0</v>
      </c>
      <c r="Z280" s="577"/>
      <c r="AA280" s="577">
        <f>AR280</f>
        <v>0.23657761525823914</v>
      </c>
      <c r="AB280" s="577"/>
      <c r="AC280" s="577">
        <f>AQ280</f>
        <v>0.19983193142731545</v>
      </c>
      <c r="AD280" s="700"/>
      <c r="AE280" s="512">
        <f t="shared" si="139"/>
        <v>8</v>
      </c>
      <c r="AF280" s="520">
        <v>8</v>
      </c>
      <c r="AH280" s="512">
        <v>36012</v>
      </c>
      <c r="AJ280" s="513">
        <v>106.23302983559877</v>
      </c>
      <c r="AK280" s="514">
        <v>105.1948604625895</v>
      </c>
      <c r="AL280" s="513">
        <v>104.86113485125321</v>
      </c>
      <c r="AM280" s="512">
        <v>12</v>
      </c>
      <c r="AN280" s="512">
        <v>1000000</v>
      </c>
      <c r="AO280" s="512">
        <v>0.12</v>
      </c>
      <c r="AP280" s="523">
        <f>AE280*AH280*AK280%*AM280/AN280*AO280</f>
        <v>0.4364095466855546</v>
      </c>
      <c r="AQ280" s="523">
        <f t="shared" si="145"/>
        <v>0.19983193142731545</v>
      </c>
      <c r="AR280" s="523">
        <f t="shared" si="146"/>
        <v>0.23657761525823914</v>
      </c>
      <c r="AS280" s="512">
        <v>0.18</v>
      </c>
      <c r="AT280" s="523">
        <f t="shared" si="144"/>
        <v>0</v>
      </c>
    </row>
    <row r="281" spans="1:46" s="644" customFormat="1" ht="27.75" customHeight="1">
      <c r="A281" s="763"/>
      <c r="B281" s="742"/>
      <c r="C281" s="742"/>
      <c r="D281" s="633">
        <v>2015</v>
      </c>
      <c r="E281" s="650">
        <f t="shared" si="136"/>
        <v>275</v>
      </c>
      <c r="F281" s="650">
        <v>0</v>
      </c>
      <c r="G281" s="634">
        <v>275</v>
      </c>
      <c r="H281" s="667">
        <v>0</v>
      </c>
      <c r="I281" s="650">
        <v>0</v>
      </c>
      <c r="J281" s="650"/>
      <c r="K281" s="634">
        <v>0</v>
      </c>
      <c r="L281" s="634"/>
      <c r="M281" s="634">
        <v>0</v>
      </c>
      <c r="N281" s="667"/>
      <c r="O281" s="634">
        <v>0</v>
      </c>
      <c r="P281" s="634"/>
      <c r="Q281" s="634">
        <v>0</v>
      </c>
      <c r="R281" s="634"/>
      <c r="S281" s="762"/>
      <c r="T281" s="762"/>
      <c r="U281" s="637">
        <f>AE281</f>
        <v>0</v>
      </c>
      <c r="W281" s="646">
        <f>SUM(Y281:AC281)</f>
        <v>29.7</v>
      </c>
      <c r="X281" s="646"/>
      <c r="Y281" s="646">
        <f>AT281</f>
        <v>29.7</v>
      </c>
      <c r="Z281" s="646"/>
      <c r="AA281" s="646">
        <f>AR281</f>
        <v>0</v>
      </c>
      <c r="AB281" s="646"/>
      <c r="AC281" s="646">
        <f>AQ281</f>
        <v>0</v>
      </c>
      <c r="AD281" s="701"/>
      <c r="AE281" s="638">
        <f t="shared" si="139"/>
        <v>0</v>
      </c>
      <c r="AF281" s="639">
        <v>0</v>
      </c>
      <c r="AG281" s="638"/>
      <c r="AH281" s="638">
        <v>36012</v>
      </c>
      <c r="AI281" s="638"/>
      <c r="AJ281" s="641">
        <v>106.23302983559877</v>
      </c>
      <c r="AK281" s="642">
        <v>105.1948604625895</v>
      </c>
      <c r="AL281" s="641">
        <v>104.86113485125321</v>
      </c>
      <c r="AM281" s="638">
        <v>12</v>
      </c>
      <c r="AN281" s="638">
        <v>1000000</v>
      </c>
      <c r="AO281" s="638">
        <v>0.12</v>
      </c>
      <c r="AP281" s="643">
        <f>AE281*AH281*AL281%*AM281/AN281*AO281</f>
        <v>0</v>
      </c>
      <c r="AQ281" s="643">
        <f t="shared" si="145"/>
        <v>0</v>
      </c>
      <c r="AR281" s="643">
        <f t="shared" si="146"/>
        <v>0</v>
      </c>
      <c r="AS281" s="638">
        <v>0.18</v>
      </c>
      <c r="AT281" s="643">
        <f t="shared" si="144"/>
        <v>29.7</v>
      </c>
    </row>
    <row r="282" spans="1:46" ht="27.75" customHeight="1">
      <c r="A282" s="763">
        <v>7</v>
      </c>
      <c r="B282" s="742" t="s">
        <v>280</v>
      </c>
      <c r="C282" s="742" t="s">
        <v>473</v>
      </c>
      <c r="D282" s="489" t="s">
        <v>341</v>
      </c>
      <c r="E282" s="578">
        <f t="shared" si="136"/>
        <v>643.649</v>
      </c>
      <c r="F282" s="578"/>
      <c r="G282" s="569">
        <f aca="true" t="shared" si="147" ref="G282:Q282">SUM(G283:G285)</f>
        <v>643.649</v>
      </c>
      <c r="H282" s="586"/>
      <c r="I282" s="578">
        <f t="shared" si="147"/>
        <v>0</v>
      </c>
      <c r="J282" s="578"/>
      <c r="K282" s="569">
        <f t="shared" si="147"/>
        <v>0</v>
      </c>
      <c r="L282" s="569"/>
      <c r="M282" s="569">
        <f t="shared" si="147"/>
        <v>0</v>
      </c>
      <c r="N282" s="586"/>
      <c r="O282" s="569">
        <f t="shared" si="147"/>
        <v>0</v>
      </c>
      <c r="P282" s="569"/>
      <c r="Q282" s="569">
        <f t="shared" si="147"/>
        <v>0</v>
      </c>
      <c r="R282" s="569"/>
      <c r="S282" s="762" t="s">
        <v>584</v>
      </c>
      <c r="T282" s="762" t="s">
        <v>310</v>
      </c>
      <c r="U282" s="493">
        <f>SUM(U283:U285)</f>
        <v>30</v>
      </c>
      <c r="V282" s="493"/>
      <c r="W282" s="577">
        <f>SUM(W283:W285)</f>
        <v>71.15121171669347</v>
      </c>
      <c r="X282" s="577"/>
      <c r="Y282" s="577">
        <f>SUM(Y283:Y285)</f>
        <v>69.51458</v>
      </c>
      <c r="Z282" s="577"/>
      <c r="AA282" s="577">
        <f>SUM(AA283:AA285)</f>
        <v>0.8872180536195318</v>
      </c>
      <c r="AB282" s="577"/>
      <c r="AC282" s="577">
        <f>SUM(AC283:AC285)</f>
        <v>0.7494136630739412</v>
      </c>
      <c r="AD282" s="700"/>
      <c r="AF282" s="518"/>
      <c r="AG282" s="518"/>
      <c r="AH282" s="512">
        <v>36012</v>
      </c>
      <c r="AJ282" s="513">
        <v>106.23302983559877</v>
      </c>
      <c r="AK282" s="514">
        <v>105.1948604625895</v>
      </c>
      <c r="AL282" s="513">
        <v>104.86113485125321</v>
      </c>
      <c r="AM282" s="512">
        <v>12</v>
      </c>
      <c r="AN282" s="512">
        <v>1000000</v>
      </c>
      <c r="AO282" s="512">
        <v>0.12</v>
      </c>
      <c r="AP282" s="523">
        <f>AE282*AH282*AJ282%*AM282/AN282*AO282</f>
        <v>0</v>
      </c>
      <c r="AQ282" s="523">
        <f t="shared" si="145"/>
        <v>0</v>
      </c>
      <c r="AR282" s="523">
        <f t="shared" si="146"/>
        <v>0</v>
      </c>
      <c r="AS282" s="512">
        <v>0.18</v>
      </c>
      <c r="AT282" s="523">
        <f t="shared" si="144"/>
        <v>69.51409199999999</v>
      </c>
    </row>
    <row r="283" spans="1:46" ht="27.75" customHeight="1">
      <c r="A283" s="763"/>
      <c r="B283" s="742"/>
      <c r="C283" s="742"/>
      <c r="D283" s="489">
        <v>2013</v>
      </c>
      <c r="E283" s="578">
        <f>G283+I283+K283+M283+O283+Q283</f>
        <v>94.665</v>
      </c>
      <c r="F283" s="578">
        <v>121.7</v>
      </c>
      <c r="G283" s="569">
        <v>94.665</v>
      </c>
      <c r="H283" s="586">
        <v>121.7</v>
      </c>
      <c r="I283" s="578">
        <v>0</v>
      </c>
      <c r="J283" s="578"/>
      <c r="K283" s="569">
        <v>0</v>
      </c>
      <c r="L283" s="569"/>
      <c r="M283" s="569">
        <v>0</v>
      </c>
      <c r="N283" s="586"/>
      <c r="O283" s="569">
        <v>0</v>
      </c>
      <c r="P283" s="569"/>
      <c r="Q283" s="569">
        <v>0</v>
      </c>
      <c r="R283" s="569"/>
      <c r="S283" s="762"/>
      <c r="T283" s="762"/>
      <c r="U283" s="493">
        <f>AE283</f>
        <v>5</v>
      </c>
      <c r="V283" s="493"/>
      <c r="W283" s="577">
        <f>SUM(Y283:AC283)</f>
        <v>10.49926779867165</v>
      </c>
      <c r="X283" s="577"/>
      <c r="Y283" s="577">
        <f>AT283</f>
        <v>10.22382</v>
      </c>
      <c r="Z283" s="577"/>
      <c r="AA283" s="577">
        <f>AR283</f>
        <v>0.14932025165990145</v>
      </c>
      <c r="AB283" s="577"/>
      <c r="AC283" s="577">
        <f>AQ283</f>
        <v>0.12612754701174853</v>
      </c>
      <c r="AD283" s="700"/>
      <c r="AE283" s="512">
        <f t="shared" si="139"/>
        <v>5</v>
      </c>
      <c r="AF283" s="520">
        <v>0</v>
      </c>
      <c r="AG283" s="512">
        <v>5</v>
      </c>
      <c r="AH283" s="512">
        <v>36012</v>
      </c>
      <c r="AJ283" s="513">
        <v>106.23302983559877</v>
      </c>
      <c r="AK283" s="514">
        <v>105.1948604625895</v>
      </c>
      <c r="AL283" s="513">
        <v>104.86113485125321</v>
      </c>
      <c r="AM283" s="512">
        <v>12</v>
      </c>
      <c r="AN283" s="512">
        <v>1000000</v>
      </c>
      <c r="AO283" s="512">
        <v>0.12</v>
      </c>
      <c r="AP283" s="523">
        <f>AE283*AH283*AJ283%*AM283/AN283*AO283</f>
        <v>0.27544779867165</v>
      </c>
      <c r="AQ283" s="523">
        <f t="shared" si="145"/>
        <v>0.12612754701174853</v>
      </c>
      <c r="AR283" s="523">
        <f t="shared" si="146"/>
        <v>0.14932025165990145</v>
      </c>
      <c r="AS283" s="512">
        <v>0.18</v>
      </c>
      <c r="AT283" s="523">
        <f t="shared" si="144"/>
        <v>10.22382</v>
      </c>
    </row>
    <row r="284" spans="1:46" ht="27.75" customHeight="1">
      <c r="A284" s="763"/>
      <c r="B284" s="742"/>
      <c r="C284" s="742"/>
      <c r="D284" s="491">
        <v>2014</v>
      </c>
      <c r="E284" s="578">
        <v>225.97</v>
      </c>
      <c r="F284" s="578">
        <v>76.7</v>
      </c>
      <c r="G284" s="569">
        <v>225.97</v>
      </c>
      <c r="H284" s="586">
        <v>76.7</v>
      </c>
      <c r="I284" s="578">
        <v>0</v>
      </c>
      <c r="J284" s="578"/>
      <c r="K284" s="569">
        <v>0</v>
      </c>
      <c r="L284" s="569"/>
      <c r="M284" s="569">
        <v>0</v>
      </c>
      <c r="N284" s="586"/>
      <c r="O284" s="569">
        <v>0</v>
      </c>
      <c r="P284" s="569"/>
      <c r="Q284" s="569">
        <v>0</v>
      </c>
      <c r="R284" s="569"/>
      <c r="S284" s="762"/>
      <c r="T284" s="762"/>
      <c r="U284" s="493">
        <f>AE284</f>
        <v>10</v>
      </c>
      <c r="V284" s="493"/>
      <c r="W284" s="577">
        <f>Y284+AA284+AC284</f>
        <v>24.95027193335694</v>
      </c>
      <c r="X284" s="577">
        <v>13.8</v>
      </c>
      <c r="Y284" s="577">
        <f>AT284</f>
        <v>24.40476</v>
      </c>
      <c r="Z284" s="577">
        <v>13.8</v>
      </c>
      <c r="AA284" s="577">
        <f>AR284</f>
        <v>0.29572201907279905</v>
      </c>
      <c r="AB284" s="577"/>
      <c r="AC284" s="577">
        <f>AQ284</f>
        <v>0.24978991428414435</v>
      </c>
      <c r="AD284" s="700"/>
      <c r="AE284" s="512">
        <f t="shared" si="139"/>
        <v>10</v>
      </c>
      <c r="AF284" s="520">
        <v>0</v>
      </c>
      <c r="AG284" s="512">
        <v>10</v>
      </c>
      <c r="AH284" s="512">
        <v>36012</v>
      </c>
      <c r="AJ284" s="513">
        <v>106.23302983559877</v>
      </c>
      <c r="AK284" s="514">
        <v>105.1948604625895</v>
      </c>
      <c r="AL284" s="513">
        <v>104.86113485125321</v>
      </c>
      <c r="AM284" s="512">
        <v>12</v>
      </c>
      <c r="AN284" s="512">
        <v>1000000</v>
      </c>
      <c r="AO284" s="512">
        <v>0.12</v>
      </c>
      <c r="AP284" s="523">
        <f>AE284*AH284*AK284%*AM284/AN284*AO284</f>
        <v>0.5455119333569434</v>
      </c>
      <c r="AQ284" s="523">
        <f t="shared" si="145"/>
        <v>0.24978991428414435</v>
      </c>
      <c r="AR284" s="523">
        <f t="shared" si="146"/>
        <v>0.29572201907279905</v>
      </c>
      <c r="AS284" s="512">
        <v>0.18</v>
      </c>
      <c r="AT284" s="523">
        <f t="shared" si="144"/>
        <v>24.40476</v>
      </c>
    </row>
    <row r="285" spans="1:46" s="644" customFormat="1" ht="27.75" customHeight="1">
      <c r="A285" s="763"/>
      <c r="B285" s="742"/>
      <c r="C285" s="742"/>
      <c r="D285" s="647">
        <v>2015</v>
      </c>
      <c r="E285" s="650">
        <v>323</v>
      </c>
      <c r="F285" s="650">
        <v>550</v>
      </c>
      <c r="G285" s="634">
        <v>323.014</v>
      </c>
      <c r="H285" s="667">
        <v>550</v>
      </c>
      <c r="I285" s="650">
        <v>0</v>
      </c>
      <c r="J285" s="650"/>
      <c r="K285" s="634">
        <v>0</v>
      </c>
      <c r="L285" s="634"/>
      <c r="M285" s="634">
        <v>0</v>
      </c>
      <c r="N285" s="667"/>
      <c r="O285" s="634">
        <v>0</v>
      </c>
      <c r="P285" s="634"/>
      <c r="Q285" s="634">
        <v>0</v>
      </c>
      <c r="R285" s="634"/>
      <c r="S285" s="762"/>
      <c r="T285" s="762"/>
      <c r="U285" s="637">
        <f>AE285</f>
        <v>15</v>
      </c>
      <c r="V285" s="637"/>
      <c r="W285" s="646">
        <f>SUM(Y285:AC285)</f>
        <v>35.70167198466488</v>
      </c>
      <c r="X285" s="646">
        <v>99</v>
      </c>
      <c r="Y285" s="646">
        <v>34.886</v>
      </c>
      <c r="Z285" s="646"/>
      <c r="AA285" s="646">
        <f>AR285</f>
        <v>0.4421757828868312</v>
      </c>
      <c r="AB285" s="646"/>
      <c r="AC285" s="646">
        <f>AQ285</f>
        <v>0.37349620177804826</v>
      </c>
      <c r="AD285" s="701"/>
      <c r="AE285" s="638">
        <f t="shared" si="139"/>
        <v>15</v>
      </c>
      <c r="AF285" s="639">
        <v>0</v>
      </c>
      <c r="AG285" s="638">
        <v>15</v>
      </c>
      <c r="AH285" s="638">
        <v>36012</v>
      </c>
      <c r="AI285" s="638"/>
      <c r="AJ285" s="641">
        <v>106.23302983559877</v>
      </c>
      <c r="AK285" s="642">
        <v>105.1948604625895</v>
      </c>
      <c r="AL285" s="641">
        <v>104.86113485125321</v>
      </c>
      <c r="AM285" s="638">
        <v>12</v>
      </c>
      <c r="AN285" s="638">
        <v>1000000</v>
      </c>
      <c r="AO285" s="638">
        <v>0.12</v>
      </c>
      <c r="AP285" s="643">
        <f>AE285*AH285*AL285%*AM285/AN285*AO285</f>
        <v>0.8156719846648794</v>
      </c>
      <c r="AQ285" s="643">
        <f t="shared" si="145"/>
        <v>0.37349620177804826</v>
      </c>
      <c r="AR285" s="643">
        <f t="shared" si="146"/>
        <v>0.4421757828868312</v>
      </c>
      <c r="AS285" s="638">
        <v>0.18</v>
      </c>
      <c r="AT285" s="643">
        <f t="shared" si="144"/>
        <v>34.88399999999999</v>
      </c>
    </row>
    <row r="286" spans="1:46" ht="33" customHeight="1">
      <c r="A286" s="743">
        <v>8</v>
      </c>
      <c r="B286" s="768" t="s">
        <v>517</v>
      </c>
      <c r="C286" s="768" t="s">
        <v>473</v>
      </c>
      <c r="D286" s="489" t="s">
        <v>341</v>
      </c>
      <c r="E286" s="578">
        <f t="shared" si="136"/>
        <v>7.6</v>
      </c>
      <c r="F286" s="578"/>
      <c r="G286" s="569">
        <f aca="true" t="shared" si="148" ref="G286:Q286">SUM(G287:G289)</f>
        <v>7.6</v>
      </c>
      <c r="H286" s="586"/>
      <c r="I286" s="578">
        <f t="shared" si="148"/>
        <v>0</v>
      </c>
      <c r="J286" s="578"/>
      <c r="K286" s="569">
        <f t="shared" si="148"/>
        <v>0</v>
      </c>
      <c r="L286" s="569"/>
      <c r="M286" s="569">
        <f t="shared" si="148"/>
        <v>0</v>
      </c>
      <c r="N286" s="586"/>
      <c r="O286" s="569">
        <f t="shared" si="148"/>
        <v>0</v>
      </c>
      <c r="P286" s="569"/>
      <c r="Q286" s="569">
        <f t="shared" si="148"/>
        <v>0</v>
      </c>
      <c r="R286" s="569"/>
      <c r="S286" s="762" t="s">
        <v>584</v>
      </c>
      <c r="T286" s="783" t="s">
        <v>311</v>
      </c>
      <c r="U286" s="493">
        <f>SUM(U287:U289)</f>
        <v>8</v>
      </c>
      <c r="V286" s="493"/>
      <c r="W286" s="577">
        <f>SUM(W287:W289)</f>
        <v>1.2615164778746397</v>
      </c>
      <c r="X286" s="577"/>
      <c r="Y286" s="577">
        <f>SUM(Y287:Y289)</f>
        <v>0.8207999999999999</v>
      </c>
      <c r="Z286" s="577"/>
      <c r="AA286" s="577">
        <f>SUM(AA287:AA289)</f>
        <v>0.23891240265584235</v>
      </c>
      <c r="AB286" s="577"/>
      <c r="AC286" s="577">
        <f>SUM(AC287:AC289)</f>
        <v>0.20180407521879762</v>
      </c>
      <c r="AD286" s="700"/>
      <c r="AF286" s="518"/>
      <c r="AG286" s="518"/>
      <c r="AH286" s="512">
        <v>36012</v>
      </c>
      <c r="AJ286" s="513">
        <v>106.23302983559877</v>
      </c>
      <c r="AK286" s="514">
        <v>105.1948604625895</v>
      </c>
      <c r="AL286" s="513">
        <v>104.86113485125321</v>
      </c>
      <c r="AM286" s="512">
        <v>12</v>
      </c>
      <c r="AN286" s="512">
        <v>1000000</v>
      </c>
      <c r="AO286" s="512">
        <v>0.12</v>
      </c>
      <c r="AP286" s="523">
        <f>AE286*AH286*AJ286%*AM286/AN286*AO286</f>
        <v>0</v>
      </c>
      <c r="AQ286" s="523">
        <f t="shared" si="145"/>
        <v>0</v>
      </c>
      <c r="AR286" s="523">
        <f t="shared" si="146"/>
        <v>0</v>
      </c>
      <c r="AS286" s="512">
        <v>0.18</v>
      </c>
      <c r="AT286" s="523">
        <f t="shared" si="144"/>
        <v>0.8207999999999999</v>
      </c>
    </row>
    <row r="287" spans="1:46" ht="33" customHeight="1">
      <c r="A287" s="744"/>
      <c r="B287" s="769"/>
      <c r="C287" s="769"/>
      <c r="D287" s="489">
        <v>2013</v>
      </c>
      <c r="E287" s="578">
        <f t="shared" si="136"/>
        <v>7.6</v>
      </c>
      <c r="F287" s="578"/>
      <c r="G287" s="569">
        <v>7.6</v>
      </c>
      <c r="H287" s="586"/>
      <c r="I287" s="578">
        <v>0</v>
      </c>
      <c r="J287" s="578"/>
      <c r="K287" s="569">
        <v>0</v>
      </c>
      <c r="L287" s="569"/>
      <c r="M287" s="569">
        <v>0</v>
      </c>
      <c r="N287" s="586"/>
      <c r="O287" s="569">
        <v>0</v>
      </c>
      <c r="P287" s="569"/>
      <c r="Q287" s="569">
        <v>0</v>
      </c>
      <c r="R287" s="569"/>
      <c r="S287" s="762"/>
      <c r="T287" s="784"/>
      <c r="U287" s="493">
        <f>AE287</f>
        <v>8</v>
      </c>
      <c r="V287" s="493"/>
      <c r="W287" s="577">
        <f>SUM(Y287:AC287)</f>
        <v>1.2615164778746397</v>
      </c>
      <c r="X287" s="577"/>
      <c r="Y287" s="577">
        <f>AT287</f>
        <v>0.8207999999999999</v>
      </c>
      <c r="Z287" s="577"/>
      <c r="AA287" s="577">
        <f>AR287</f>
        <v>0.23891240265584235</v>
      </c>
      <c r="AB287" s="577"/>
      <c r="AC287" s="577">
        <f>AQ287</f>
        <v>0.20180407521879762</v>
      </c>
      <c r="AD287" s="700"/>
      <c r="AE287" s="512">
        <f t="shared" si="139"/>
        <v>8</v>
      </c>
      <c r="AF287" s="520">
        <v>0</v>
      </c>
      <c r="AG287" s="512">
        <v>8</v>
      </c>
      <c r="AH287" s="512">
        <v>36012</v>
      </c>
      <c r="AJ287" s="513">
        <v>106.23302983559877</v>
      </c>
      <c r="AK287" s="514">
        <v>105.1948604625895</v>
      </c>
      <c r="AL287" s="513">
        <v>104.86113485125321</v>
      </c>
      <c r="AM287" s="512">
        <v>12</v>
      </c>
      <c r="AN287" s="512">
        <v>1000000</v>
      </c>
      <c r="AO287" s="512">
        <v>0.12</v>
      </c>
      <c r="AP287" s="523">
        <f>AE287*AH287*AJ287%*AM287/AN287*AO287</f>
        <v>0.44071647787463997</v>
      </c>
      <c r="AQ287" s="523">
        <f t="shared" si="145"/>
        <v>0.20180407521879762</v>
      </c>
      <c r="AR287" s="523">
        <f t="shared" si="146"/>
        <v>0.23891240265584235</v>
      </c>
      <c r="AS287" s="512">
        <v>0.18</v>
      </c>
      <c r="AT287" s="523">
        <f t="shared" si="144"/>
        <v>0.8207999999999999</v>
      </c>
    </row>
    <row r="288" spans="1:46" ht="33" customHeight="1">
      <c r="A288" s="744"/>
      <c r="B288" s="769"/>
      <c r="C288" s="769"/>
      <c r="D288" s="491">
        <v>2014</v>
      </c>
      <c r="E288" s="578">
        <f t="shared" si="136"/>
        <v>0</v>
      </c>
      <c r="F288" s="578"/>
      <c r="G288" s="569">
        <v>0</v>
      </c>
      <c r="H288" s="586"/>
      <c r="I288" s="578">
        <v>0</v>
      </c>
      <c r="J288" s="578"/>
      <c r="K288" s="569">
        <v>0</v>
      </c>
      <c r="L288" s="569"/>
      <c r="M288" s="569">
        <v>0</v>
      </c>
      <c r="N288" s="586"/>
      <c r="O288" s="569">
        <v>0</v>
      </c>
      <c r="P288" s="569"/>
      <c r="Q288" s="569">
        <v>0</v>
      </c>
      <c r="R288" s="569"/>
      <c r="S288" s="762"/>
      <c r="T288" s="784"/>
      <c r="U288" s="493">
        <f>AE288</f>
        <v>0</v>
      </c>
      <c r="V288" s="493"/>
      <c r="W288" s="577">
        <f>SUM(Y288:AC288)</f>
        <v>0</v>
      </c>
      <c r="X288" s="577"/>
      <c r="Y288" s="577">
        <f>AT288</f>
        <v>0</v>
      </c>
      <c r="Z288" s="577"/>
      <c r="AA288" s="577">
        <f>AR288</f>
        <v>0</v>
      </c>
      <c r="AB288" s="577"/>
      <c r="AC288" s="577">
        <f>AQ288</f>
        <v>0</v>
      </c>
      <c r="AD288" s="700"/>
      <c r="AE288" s="512">
        <f t="shared" si="139"/>
        <v>0</v>
      </c>
      <c r="AF288" s="520">
        <v>0</v>
      </c>
      <c r="AH288" s="512">
        <v>36012</v>
      </c>
      <c r="AJ288" s="513">
        <v>106.23302983559877</v>
      </c>
      <c r="AK288" s="514">
        <v>105.1948604625895</v>
      </c>
      <c r="AL288" s="513">
        <v>104.86113485125321</v>
      </c>
      <c r="AM288" s="512">
        <v>12</v>
      </c>
      <c r="AN288" s="512">
        <v>1000000</v>
      </c>
      <c r="AO288" s="512">
        <v>0.12</v>
      </c>
      <c r="AP288" s="523">
        <f>AE288*AH288*AK288%*AM288/AN288*AO288</f>
        <v>0</v>
      </c>
      <c r="AQ288" s="523">
        <f t="shared" si="145"/>
        <v>0</v>
      </c>
      <c r="AR288" s="523">
        <f t="shared" si="146"/>
        <v>0</v>
      </c>
      <c r="AS288" s="512">
        <v>0.18</v>
      </c>
      <c r="AT288" s="523">
        <f t="shared" si="144"/>
        <v>0</v>
      </c>
    </row>
    <row r="289" spans="1:46" s="644" customFormat="1" ht="33" customHeight="1">
      <c r="A289" s="745"/>
      <c r="B289" s="770"/>
      <c r="C289" s="770"/>
      <c r="D289" s="647">
        <v>2015</v>
      </c>
      <c r="E289" s="650">
        <v>0</v>
      </c>
      <c r="F289" s="650">
        <v>96.76</v>
      </c>
      <c r="G289" s="634">
        <v>0</v>
      </c>
      <c r="H289" s="667">
        <v>96.7598</v>
      </c>
      <c r="I289" s="650">
        <v>0</v>
      </c>
      <c r="J289" s="650"/>
      <c r="K289" s="634">
        <v>0</v>
      </c>
      <c r="L289" s="634"/>
      <c r="M289" s="634">
        <v>0</v>
      </c>
      <c r="N289" s="667"/>
      <c r="O289" s="634">
        <v>0</v>
      </c>
      <c r="P289" s="634"/>
      <c r="Q289" s="634">
        <v>0</v>
      </c>
      <c r="R289" s="634"/>
      <c r="S289" s="762"/>
      <c r="T289" s="785"/>
      <c r="U289" s="637">
        <f>AE289</f>
        <v>0</v>
      </c>
      <c r="V289" s="637" t="s">
        <v>840</v>
      </c>
      <c r="W289" s="646">
        <f>SUM(Y289+AA289+AC289)</f>
        <v>0</v>
      </c>
      <c r="X289" s="646">
        <v>1.98</v>
      </c>
      <c r="Y289" s="646">
        <f>AT289</f>
        <v>0</v>
      </c>
      <c r="Z289" s="646">
        <v>0.039</v>
      </c>
      <c r="AA289" s="646">
        <f>AR289</f>
        <v>0</v>
      </c>
      <c r="AB289" s="646">
        <v>1.141</v>
      </c>
      <c r="AC289" s="646">
        <f>AQ289</f>
        <v>0</v>
      </c>
      <c r="AD289" s="701">
        <v>0.8</v>
      </c>
      <c r="AE289" s="638">
        <f t="shared" si="139"/>
        <v>0</v>
      </c>
      <c r="AF289" s="639">
        <v>0</v>
      </c>
      <c r="AG289" s="638"/>
      <c r="AH289" s="638">
        <v>36012</v>
      </c>
      <c r="AI289" s="638"/>
      <c r="AJ289" s="641">
        <v>106.23302983559877</v>
      </c>
      <c r="AK289" s="642">
        <v>105.1948604625895</v>
      </c>
      <c r="AL289" s="641">
        <v>104.86113485125321</v>
      </c>
      <c r="AM289" s="638">
        <v>12</v>
      </c>
      <c r="AN289" s="638">
        <v>1000000</v>
      </c>
      <c r="AO289" s="638">
        <v>0.12</v>
      </c>
      <c r="AP289" s="643">
        <f>AE289*AH289*AL289%*AM289/AN289*AO289</f>
        <v>0</v>
      </c>
      <c r="AQ289" s="643">
        <f t="shared" si="145"/>
        <v>0</v>
      </c>
      <c r="AR289" s="643">
        <f t="shared" si="146"/>
        <v>0</v>
      </c>
      <c r="AS289" s="638">
        <v>0.18</v>
      </c>
      <c r="AT289" s="643">
        <f t="shared" si="144"/>
        <v>0</v>
      </c>
    </row>
    <row r="290" spans="1:46" ht="34.5" customHeight="1">
      <c r="A290" s="763">
        <v>9</v>
      </c>
      <c r="B290" s="742" t="s">
        <v>413</v>
      </c>
      <c r="C290" s="742" t="s">
        <v>496</v>
      </c>
      <c r="D290" s="489" t="s">
        <v>341</v>
      </c>
      <c r="E290" s="578">
        <f t="shared" si="136"/>
        <v>50</v>
      </c>
      <c r="F290" s="578"/>
      <c r="G290" s="569">
        <f aca="true" t="shared" si="149" ref="G290:Q290">SUM(G291:G293)</f>
        <v>0</v>
      </c>
      <c r="H290" s="586"/>
      <c r="I290" s="578">
        <f t="shared" si="149"/>
        <v>45</v>
      </c>
      <c r="J290" s="578"/>
      <c r="K290" s="569">
        <f t="shared" si="149"/>
        <v>5</v>
      </c>
      <c r="L290" s="569"/>
      <c r="M290" s="569">
        <f t="shared" si="149"/>
        <v>0</v>
      </c>
      <c r="N290" s="586"/>
      <c r="O290" s="569">
        <f t="shared" si="149"/>
        <v>0</v>
      </c>
      <c r="P290" s="569"/>
      <c r="Q290" s="569">
        <f t="shared" si="149"/>
        <v>0</v>
      </c>
      <c r="R290" s="569"/>
      <c r="S290" s="762" t="s">
        <v>581</v>
      </c>
      <c r="T290" s="783" t="s">
        <v>309</v>
      </c>
      <c r="U290" s="493">
        <f>SUM(U291:U293)</f>
        <v>15</v>
      </c>
      <c r="V290" s="493"/>
      <c r="W290" s="577">
        <f>SUM(W291:W293)</f>
        <v>6.22634339601495</v>
      </c>
      <c r="X290" s="577"/>
      <c r="Y290" s="577">
        <f>SUM(Y291:Y293)</f>
        <v>5.3999999999999995</v>
      </c>
      <c r="Z290" s="577"/>
      <c r="AA290" s="577">
        <f>SUM(AA291:AA293)</f>
        <v>0.44796075497970433</v>
      </c>
      <c r="AB290" s="577"/>
      <c r="AC290" s="577">
        <f>SUM(AC291:AC293)</f>
        <v>0.37838264103524555</v>
      </c>
      <c r="AD290" s="700"/>
      <c r="AF290" s="518"/>
      <c r="AG290" s="518"/>
      <c r="AH290" s="512">
        <v>36012</v>
      </c>
      <c r="AJ290" s="513">
        <v>106.23302983559877</v>
      </c>
      <c r="AK290" s="514">
        <v>105.1948604625895</v>
      </c>
      <c r="AL290" s="513">
        <v>104.86113485125321</v>
      </c>
      <c r="AM290" s="512">
        <v>12</v>
      </c>
      <c r="AN290" s="512">
        <v>1000000</v>
      </c>
      <c r="AO290" s="512">
        <v>0.12</v>
      </c>
      <c r="AP290" s="523">
        <f>AE290*AH290*AJ290%*AM290/AN290*AO290</f>
        <v>0</v>
      </c>
      <c r="AQ290" s="523">
        <f t="shared" si="145"/>
        <v>0</v>
      </c>
      <c r="AR290" s="523">
        <f t="shared" si="146"/>
        <v>0</v>
      </c>
      <c r="AS290" s="512">
        <v>0.18</v>
      </c>
      <c r="AT290" s="523">
        <f t="shared" si="144"/>
        <v>5.3999999999999995</v>
      </c>
    </row>
    <row r="291" spans="1:46" ht="34.5" customHeight="1">
      <c r="A291" s="763"/>
      <c r="B291" s="742"/>
      <c r="C291" s="742"/>
      <c r="D291" s="489">
        <v>2013</v>
      </c>
      <c r="E291" s="578">
        <f t="shared" si="136"/>
        <v>50</v>
      </c>
      <c r="F291" s="578"/>
      <c r="G291" s="569">
        <v>0</v>
      </c>
      <c r="H291" s="586"/>
      <c r="I291" s="578">
        <v>45</v>
      </c>
      <c r="J291" s="578"/>
      <c r="K291" s="569">
        <v>5</v>
      </c>
      <c r="L291" s="569"/>
      <c r="M291" s="569">
        <v>0</v>
      </c>
      <c r="N291" s="586"/>
      <c r="O291" s="569">
        <v>0</v>
      </c>
      <c r="P291" s="569"/>
      <c r="Q291" s="569">
        <v>0</v>
      </c>
      <c r="R291" s="569"/>
      <c r="S291" s="762"/>
      <c r="T291" s="784"/>
      <c r="U291" s="493">
        <f>AE291</f>
        <v>15</v>
      </c>
      <c r="V291" s="493"/>
      <c r="W291" s="577">
        <f>SUM(Y291:AC291)</f>
        <v>6.22634339601495</v>
      </c>
      <c r="X291" s="577"/>
      <c r="Y291" s="577">
        <f>AT291</f>
        <v>5.3999999999999995</v>
      </c>
      <c r="Z291" s="577"/>
      <c r="AA291" s="577">
        <f>AR291</f>
        <v>0.44796075497970433</v>
      </c>
      <c r="AB291" s="577"/>
      <c r="AC291" s="577">
        <f>AQ291</f>
        <v>0.37838264103524555</v>
      </c>
      <c r="AD291" s="700"/>
      <c r="AE291" s="512">
        <f t="shared" si="139"/>
        <v>15</v>
      </c>
      <c r="AF291" s="520">
        <v>0</v>
      </c>
      <c r="AG291" s="512">
        <v>15</v>
      </c>
      <c r="AH291" s="512">
        <v>36012</v>
      </c>
      <c r="AJ291" s="513">
        <v>106.23302983559877</v>
      </c>
      <c r="AK291" s="514">
        <v>105.1948604625895</v>
      </c>
      <c r="AL291" s="513">
        <v>104.86113485125321</v>
      </c>
      <c r="AM291" s="512">
        <v>12</v>
      </c>
      <c r="AN291" s="512">
        <v>1000000</v>
      </c>
      <c r="AO291" s="512">
        <v>0.12</v>
      </c>
      <c r="AP291" s="523">
        <f>AE291*AH291*AJ291%*AM291/AN291*AO291</f>
        <v>0.8263433960149499</v>
      </c>
      <c r="AQ291" s="523">
        <f t="shared" si="145"/>
        <v>0.37838264103524555</v>
      </c>
      <c r="AR291" s="523">
        <f t="shared" si="146"/>
        <v>0.44796075497970433</v>
      </c>
      <c r="AS291" s="512">
        <v>0.18</v>
      </c>
      <c r="AT291" s="523">
        <f t="shared" si="144"/>
        <v>5.3999999999999995</v>
      </c>
    </row>
    <row r="292" spans="1:46" ht="34.5" customHeight="1">
      <c r="A292" s="763"/>
      <c r="B292" s="742"/>
      <c r="C292" s="742"/>
      <c r="D292" s="491">
        <v>2014</v>
      </c>
      <c r="E292" s="578">
        <f t="shared" si="136"/>
        <v>0</v>
      </c>
      <c r="F292" s="578"/>
      <c r="G292" s="569">
        <v>0</v>
      </c>
      <c r="H292" s="586"/>
      <c r="I292" s="578">
        <v>0</v>
      </c>
      <c r="J292" s="578"/>
      <c r="K292" s="569">
        <v>0</v>
      </c>
      <c r="L292" s="569"/>
      <c r="M292" s="569">
        <v>0</v>
      </c>
      <c r="N292" s="586"/>
      <c r="O292" s="569">
        <v>0</v>
      </c>
      <c r="P292" s="569"/>
      <c r="Q292" s="569">
        <v>0</v>
      </c>
      <c r="R292" s="569"/>
      <c r="S292" s="762"/>
      <c r="T292" s="784"/>
      <c r="U292" s="493">
        <f>AE292</f>
        <v>0</v>
      </c>
      <c r="V292" s="493"/>
      <c r="W292" s="577">
        <f>SUM(Y292:AC292)</f>
        <v>0</v>
      </c>
      <c r="X292" s="577"/>
      <c r="Y292" s="577">
        <f>AT292</f>
        <v>0</v>
      </c>
      <c r="Z292" s="577"/>
      <c r="AA292" s="577">
        <f>AR292</f>
        <v>0</v>
      </c>
      <c r="AB292" s="577"/>
      <c r="AC292" s="577">
        <f>AQ292</f>
        <v>0</v>
      </c>
      <c r="AD292" s="700"/>
      <c r="AE292" s="512">
        <f t="shared" si="139"/>
        <v>0</v>
      </c>
      <c r="AF292" s="520">
        <v>0</v>
      </c>
      <c r="AH292" s="512">
        <v>36012</v>
      </c>
      <c r="AJ292" s="513">
        <v>106.23302983559877</v>
      </c>
      <c r="AK292" s="514">
        <v>105.1948604625895</v>
      </c>
      <c r="AL292" s="513">
        <v>104.86113485125321</v>
      </c>
      <c r="AM292" s="512">
        <v>12</v>
      </c>
      <c r="AN292" s="512">
        <v>1000000</v>
      </c>
      <c r="AO292" s="512">
        <v>0.12</v>
      </c>
      <c r="AP292" s="523">
        <f>AE292*AH292*AK292%*AM292/AN292*AO292</f>
        <v>0</v>
      </c>
      <c r="AQ292" s="523">
        <f t="shared" si="145"/>
        <v>0</v>
      </c>
      <c r="AR292" s="523">
        <f t="shared" si="146"/>
        <v>0</v>
      </c>
      <c r="AS292" s="512">
        <v>0.18</v>
      </c>
      <c r="AT292" s="523">
        <f t="shared" si="144"/>
        <v>0</v>
      </c>
    </row>
    <row r="293" spans="1:46" ht="34.5" customHeight="1">
      <c r="A293" s="763"/>
      <c r="B293" s="742"/>
      <c r="C293" s="742"/>
      <c r="D293" s="491">
        <v>2015</v>
      </c>
      <c r="E293" s="578">
        <f t="shared" si="136"/>
        <v>0</v>
      </c>
      <c r="F293" s="578">
        <v>0</v>
      </c>
      <c r="G293" s="569">
        <v>0</v>
      </c>
      <c r="H293" s="586"/>
      <c r="I293" s="578">
        <v>0</v>
      </c>
      <c r="J293" s="578"/>
      <c r="K293" s="569">
        <v>0</v>
      </c>
      <c r="L293" s="569"/>
      <c r="M293" s="569">
        <v>0</v>
      </c>
      <c r="N293" s="586"/>
      <c r="O293" s="569">
        <v>0</v>
      </c>
      <c r="P293" s="569"/>
      <c r="Q293" s="569">
        <v>0</v>
      </c>
      <c r="R293" s="569"/>
      <c r="S293" s="762"/>
      <c r="T293" s="785"/>
      <c r="U293" s="493">
        <f>AE293</f>
        <v>0</v>
      </c>
      <c r="V293" s="493"/>
      <c r="W293" s="577">
        <f>SUM(Y293:AC293)</f>
        <v>0</v>
      </c>
      <c r="X293" s="577"/>
      <c r="Y293" s="577">
        <f>AT293</f>
        <v>0</v>
      </c>
      <c r="Z293" s="577"/>
      <c r="AA293" s="577">
        <f>AR293</f>
        <v>0</v>
      </c>
      <c r="AB293" s="577"/>
      <c r="AC293" s="577">
        <f>AQ293</f>
        <v>0</v>
      </c>
      <c r="AD293" s="700"/>
      <c r="AE293" s="512">
        <f t="shared" si="139"/>
        <v>0</v>
      </c>
      <c r="AF293" s="520">
        <v>0</v>
      </c>
      <c r="AH293" s="512">
        <v>36012</v>
      </c>
      <c r="AJ293" s="513">
        <v>106.23302983559877</v>
      </c>
      <c r="AK293" s="514">
        <v>105.1948604625895</v>
      </c>
      <c r="AL293" s="513">
        <v>104.86113485125321</v>
      </c>
      <c r="AM293" s="512">
        <v>12</v>
      </c>
      <c r="AN293" s="512">
        <v>1000000</v>
      </c>
      <c r="AO293" s="512">
        <v>0.12</v>
      </c>
      <c r="AP293" s="523">
        <f>AE293*AH293*AL293%*AM293/AN293*AO293</f>
        <v>0</v>
      </c>
      <c r="AQ293" s="523">
        <f t="shared" si="145"/>
        <v>0</v>
      </c>
      <c r="AR293" s="523">
        <f t="shared" si="146"/>
        <v>0</v>
      </c>
      <c r="AS293" s="512">
        <v>0.18</v>
      </c>
      <c r="AT293" s="523">
        <f t="shared" si="144"/>
        <v>0</v>
      </c>
    </row>
    <row r="294" spans="1:46" ht="42" customHeight="1">
      <c r="A294" s="763">
        <v>10</v>
      </c>
      <c r="B294" s="742" t="s">
        <v>819</v>
      </c>
      <c r="C294" s="742" t="s">
        <v>147</v>
      </c>
      <c r="D294" s="489" t="s">
        <v>273</v>
      </c>
      <c r="E294" s="578">
        <f t="shared" si="136"/>
        <v>114.3</v>
      </c>
      <c r="F294" s="578"/>
      <c r="G294" s="569">
        <f aca="true" t="shared" si="150" ref="G294:Q294">SUM(G295:G297)</f>
        <v>0</v>
      </c>
      <c r="H294" s="586"/>
      <c r="I294" s="578">
        <f t="shared" si="150"/>
        <v>75.8</v>
      </c>
      <c r="J294" s="578"/>
      <c r="K294" s="569">
        <f t="shared" si="150"/>
        <v>38.5</v>
      </c>
      <c r="L294" s="569"/>
      <c r="M294" s="569">
        <f t="shared" si="150"/>
        <v>0</v>
      </c>
      <c r="N294" s="586"/>
      <c r="O294" s="569">
        <f t="shared" si="150"/>
        <v>0</v>
      </c>
      <c r="P294" s="569"/>
      <c r="Q294" s="569">
        <f t="shared" si="150"/>
        <v>0</v>
      </c>
      <c r="R294" s="569"/>
      <c r="S294" s="762" t="s">
        <v>581</v>
      </c>
      <c r="T294" s="843" t="s">
        <v>855</v>
      </c>
      <c r="U294" s="493">
        <f>SUM(U295:U297)</f>
        <v>20</v>
      </c>
      <c r="V294" s="493"/>
      <c r="W294" s="577">
        <f>SUM(W295:W297)</f>
        <v>13.437250393583556</v>
      </c>
      <c r="X294" s="577"/>
      <c r="Y294" s="577">
        <f>SUM(Y295:Y297)</f>
        <v>12.3444</v>
      </c>
      <c r="Z294" s="577"/>
      <c r="AA294" s="577">
        <f>SUM(AA295:AA297)</f>
        <v>0.5924341983616442</v>
      </c>
      <c r="AB294" s="577"/>
      <c r="AC294" s="577">
        <f>SUM(AC295:AC297)</f>
        <v>0.5004161952219089</v>
      </c>
      <c r="AD294" s="700"/>
      <c r="AF294" s="518"/>
      <c r="AG294" s="518"/>
      <c r="AH294" s="512">
        <v>36012</v>
      </c>
      <c r="AJ294" s="513">
        <v>106.23302983559877</v>
      </c>
      <c r="AK294" s="514">
        <v>105.1948604625895</v>
      </c>
      <c r="AL294" s="513">
        <v>104.86113485125321</v>
      </c>
      <c r="AM294" s="512">
        <v>12</v>
      </c>
      <c r="AN294" s="512">
        <v>1000000</v>
      </c>
      <c r="AO294" s="512">
        <v>0.12</v>
      </c>
      <c r="AP294" s="523">
        <f>AE294*AH294*AJ294%*AM294/AN294*AO294</f>
        <v>0</v>
      </c>
      <c r="AQ294" s="523">
        <f t="shared" si="145"/>
        <v>0</v>
      </c>
      <c r="AR294" s="523">
        <f t="shared" si="146"/>
        <v>0</v>
      </c>
      <c r="AS294" s="512">
        <v>0.18</v>
      </c>
      <c r="AT294" s="523">
        <f t="shared" si="144"/>
        <v>12.344399999999998</v>
      </c>
    </row>
    <row r="295" spans="1:46" ht="42" customHeight="1">
      <c r="A295" s="763"/>
      <c r="B295" s="742"/>
      <c r="C295" s="742"/>
      <c r="D295" s="489">
        <v>2013</v>
      </c>
      <c r="E295" s="578">
        <f>G295+I295+K295</f>
        <v>7.8</v>
      </c>
      <c r="F295" s="578">
        <f>H295+J295+L295</f>
        <v>20.790000000000003</v>
      </c>
      <c r="G295" s="569">
        <v>0</v>
      </c>
      <c r="H295" s="586"/>
      <c r="I295" s="578">
        <v>6.1</v>
      </c>
      <c r="J295" s="578">
        <v>17.35</v>
      </c>
      <c r="K295" s="569">
        <v>1.7</v>
      </c>
      <c r="L295" s="569">
        <v>3.44</v>
      </c>
      <c r="M295" s="569">
        <v>0</v>
      </c>
      <c r="N295" s="586"/>
      <c r="O295" s="569">
        <v>0</v>
      </c>
      <c r="P295" s="569"/>
      <c r="Q295" s="569">
        <v>0</v>
      </c>
      <c r="R295" s="569"/>
      <c r="S295" s="762"/>
      <c r="T295" s="844"/>
      <c r="U295" s="493">
        <f>AE295</f>
        <v>5</v>
      </c>
      <c r="V295" s="493"/>
      <c r="W295" s="577">
        <f>SUM(Y295:AC295)</f>
        <v>1.11784779867165</v>
      </c>
      <c r="X295" s="577"/>
      <c r="Y295" s="577">
        <f>AT295</f>
        <v>0.8423999999999999</v>
      </c>
      <c r="Z295" s="577"/>
      <c r="AA295" s="577">
        <f>AR295</f>
        <v>0.14932025165990145</v>
      </c>
      <c r="AB295" s="577"/>
      <c r="AC295" s="577">
        <f>AQ295</f>
        <v>0.12612754701174853</v>
      </c>
      <c r="AD295" s="700"/>
      <c r="AE295" s="512">
        <f t="shared" si="139"/>
        <v>5</v>
      </c>
      <c r="AF295" s="520">
        <v>0</v>
      </c>
      <c r="AG295" s="512">
        <v>5</v>
      </c>
      <c r="AH295" s="512">
        <v>36012</v>
      </c>
      <c r="AJ295" s="513">
        <v>106.23302983559877</v>
      </c>
      <c r="AK295" s="514">
        <v>105.1948604625895</v>
      </c>
      <c r="AL295" s="513">
        <v>104.86113485125321</v>
      </c>
      <c r="AM295" s="512">
        <v>12</v>
      </c>
      <c r="AN295" s="512">
        <v>1000000</v>
      </c>
      <c r="AO295" s="512">
        <v>0.12</v>
      </c>
      <c r="AP295" s="523">
        <f>AE295*AH295*AJ295%*AM295/AN295*AO295</f>
        <v>0.27544779867165</v>
      </c>
      <c r="AQ295" s="523">
        <f t="shared" si="145"/>
        <v>0.12612754701174853</v>
      </c>
      <c r="AR295" s="523">
        <f t="shared" si="146"/>
        <v>0.14932025165990145</v>
      </c>
      <c r="AS295" s="512">
        <v>0.18</v>
      </c>
      <c r="AT295" s="523">
        <f t="shared" si="144"/>
        <v>0.8423999999999999</v>
      </c>
    </row>
    <row r="296" spans="1:46" ht="42" customHeight="1">
      <c r="A296" s="763"/>
      <c r="B296" s="742"/>
      <c r="C296" s="742"/>
      <c r="D296" s="489">
        <v>2014</v>
      </c>
      <c r="E296" s="578">
        <v>75.4</v>
      </c>
      <c r="F296" s="578">
        <v>617.2</v>
      </c>
      <c r="G296" s="569">
        <v>0</v>
      </c>
      <c r="H296" s="586">
        <v>617.2</v>
      </c>
      <c r="I296" s="578">
        <v>48.8</v>
      </c>
      <c r="J296" s="578"/>
      <c r="K296" s="569">
        <v>26.6</v>
      </c>
      <c r="L296" s="569">
        <v>0.2</v>
      </c>
      <c r="M296" s="569">
        <v>0</v>
      </c>
      <c r="N296" s="586"/>
      <c r="O296" s="569">
        <v>0</v>
      </c>
      <c r="P296" s="569"/>
      <c r="Q296" s="569">
        <v>0</v>
      </c>
      <c r="R296" s="569"/>
      <c r="S296" s="762"/>
      <c r="T296" s="844"/>
      <c r="U296" s="493">
        <f>AE296</f>
        <v>10</v>
      </c>
      <c r="V296" s="493"/>
      <c r="W296" s="577">
        <f>Y296+AA296+AC296</f>
        <v>8.688711933356945</v>
      </c>
      <c r="X296" s="577">
        <v>111.036</v>
      </c>
      <c r="Y296" s="577">
        <f>AT296</f>
        <v>8.1432</v>
      </c>
      <c r="Z296" s="577">
        <v>111.036</v>
      </c>
      <c r="AA296" s="577">
        <f>AR296</f>
        <v>0.29572201907279905</v>
      </c>
      <c r="AB296" s="577"/>
      <c r="AC296" s="577">
        <f>AQ296</f>
        <v>0.24978991428414435</v>
      </c>
      <c r="AD296" s="700"/>
      <c r="AE296" s="512">
        <f t="shared" si="139"/>
        <v>10</v>
      </c>
      <c r="AF296" s="520">
        <v>0</v>
      </c>
      <c r="AG296" s="512">
        <v>10</v>
      </c>
      <c r="AH296" s="512">
        <v>36012</v>
      </c>
      <c r="AJ296" s="513">
        <v>106.23302983559877</v>
      </c>
      <c r="AK296" s="514">
        <v>105.1948604625895</v>
      </c>
      <c r="AL296" s="513">
        <v>104.86113485125321</v>
      </c>
      <c r="AM296" s="512">
        <v>12</v>
      </c>
      <c r="AN296" s="512">
        <v>1000000</v>
      </c>
      <c r="AO296" s="512">
        <v>0.12</v>
      </c>
      <c r="AP296" s="523">
        <f>AE296*AH296*AK296%*AM296/AN296*AO296</f>
        <v>0.5455119333569434</v>
      </c>
      <c r="AQ296" s="523">
        <f t="shared" si="145"/>
        <v>0.24978991428414435</v>
      </c>
      <c r="AR296" s="523">
        <f t="shared" si="146"/>
        <v>0.29572201907279905</v>
      </c>
      <c r="AS296" s="512">
        <v>0.18</v>
      </c>
      <c r="AT296" s="523">
        <f t="shared" si="144"/>
        <v>8.1432</v>
      </c>
    </row>
    <row r="297" spans="1:46" s="644" customFormat="1" ht="42" customHeight="1">
      <c r="A297" s="763"/>
      <c r="B297" s="742"/>
      <c r="C297" s="742"/>
      <c r="D297" s="633">
        <v>2015</v>
      </c>
      <c r="E297" s="650">
        <v>31.1</v>
      </c>
      <c r="F297" s="650">
        <v>7.38</v>
      </c>
      <c r="G297" s="634">
        <v>0</v>
      </c>
      <c r="H297" s="667">
        <v>0</v>
      </c>
      <c r="I297" s="650">
        <v>20.9</v>
      </c>
      <c r="J297" s="650">
        <v>0.1</v>
      </c>
      <c r="K297" s="634">
        <v>10.2</v>
      </c>
      <c r="L297" s="634">
        <v>7.4</v>
      </c>
      <c r="M297" s="634">
        <v>0</v>
      </c>
      <c r="N297" s="667"/>
      <c r="O297" s="634">
        <v>0</v>
      </c>
      <c r="P297" s="634"/>
      <c r="Q297" s="634">
        <v>0</v>
      </c>
      <c r="R297" s="634"/>
      <c r="S297" s="762"/>
      <c r="T297" s="845"/>
      <c r="U297" s="637">
        <f>AE297</f>
        <v>5</v>
      </c>
      <c r="V297" s="637"/>
      <c r="W297" s="646">
        <f>SUM(Y297:AC297)</f>
        <v>3.6306906615549597</v>
      </c>
      <c r="X297" s="646">
        <v>0.46</v>
      </c>
      <c r="Y297" s="646">
        <f>AT297</f>
        <v>3.3588</v>
      </c>
      <c r="Z297" s="646"/>
      <c r="AA297" s="646">
        <f>AR297</f>
        <v>0.14739192762894374</v>
      </c>
      <c r="AB297" s="646"/>
      <c r="AC297" s="646">
        <f>AQ297</f>
        <v>0.1244987339260161</v>
      </c>
      <c r="AD297" s="701"/>
      <c r="AE297" s="638">
        <f t="shared" si="139"/>
        <v>5</v>
      </c>
      <c r="AF297" s="639">
        <v>0</v>
      </c>
      <c r="AG297" s="638">
        <v>5</v>
      </c>
      <c r="AH297" s="638">
        <v>36012</v>
      </c>
      <c r="AI297" s="638"/>
      <c r="AJ297" s="641">
        <v>106.23302983559877</v>
      </c>
      <c r="AK297" s="642">
        <v>105.1948604625895</v>
      </c>
      <c r="AL297" s="641">
        <v>104.86113485125321</v>
      </c>
      <c r="AM297" s="638">
        <v>12</v>
      </c>
      <c r="AN297" s="638">
        <v>1000000</v>
      </c>
      <c r="AO297" s="638">
        <v>0.12</v>
      </c>
      <c r="AP297" s="643">
        <f>AE297*AH297*AL297%*AM297/AN297*AO297</f>
        <v>0.27189066155495983</v>
      </c>
      <c r="AQ297" s="643">
        <f t="shared" si="145"/>
        <v>0.1244987339260161</v>
      </c>
      <c r="AR297" s="643">
        <f t="shared" si="146"/>
        <v>0.14739192762894374</v>
      </c>
      <c r="AS297" s="638">
        <v>0.18</v>
      </c>
      <c r="AT297" s="643">
        <f t="shared" si="144"/>
        <v>3.3588</v>
      </c>
    </row>
    <row r="298" spans="1:46" ht="41.25" customHeight="1">
      <c r="A298" s="763">
        <v>11</v>
      </c>
      <c r="B298" s="742" t="s">
        <v>148</v>
      </c>
      <c r="C298" s="742" t="s">
        <v>147</v>
      </c>
      <c r="D298" s="489" t="s">
        <v>273</v>
      </c>
      <c r="E298" s="578">
        <f t="shared" si="136"/>
        <v>91.7</v>
      </c>
      <c r="F298" s="578"/>
      <c r="G298" s="569">
        <f aca="true" t="shared" si="151" ref="G298:Q298">SUM(G299:G301)</f>
        <v>0</v>
      </c>
      <c r="H298" s="586"/>
      <c r="I298" s="578">
        <f t="shared" si="151"/>
        <v>37.55</v>
      </c>
      <c r="J298" s="578"/>
      <c r="K298" s="569">
        <f t="shared" si="151"/>
        <v>54.150000000000006</v>
      </c>
      <c r="L298" s="569"/>
      <c r="M298" s="569">
        <f t="shared" si="151"/>
        <v>0</v>
      </c>
      <c r="N298" s="586"/>
      <c r="O298" s="569">
        <f t="shared" si="151"/>
        <v>0</v>
      </c>
      <c r="P298" s="569"/>
      <c r="Q298" s="569">
        <f t="shared" si="151"/>
        <v>0</v>
      </c>
      <c r="R298" s="569"/>
      <c r="S298" s="762" t="s">
        <v>581</v>
      </c>
      <c r="T298" s="762" t="s">
        <v>324</v>
      </c>
      <c r="U298" s="493">
        <f>SUM(U299:U301)</f>
        <v>15</v>
      </c>
      <c r="V298" s="493"/>
      <c r="W298" s="577">
        <f>SUM(W299:W301)</f>
        <v>10.722271572058403</v>
      </c>
      <c r="X298" s="577"/>
      <c r="Y298" s="577">
        <f>SUM(Y299:Y301)</f>
        <v>9.903599999999999</v>
      </c>
      <c r="Z298" s="577"/>
      <c r="AA298" s="577">
        <f>SUM(AA299:AA301)</f>
        <v>0.4438018592128615</v>
      </c>
      <c r="AB298" s="577"/>
      <c r="AC298" s="577">
        <f>SUM(AC299:AC301)</f>
        <v>0.3748697128455438</v>
      </c>
      <c r="AD298" s="700"/>
      <c r="AF298" s="518"/>
      <c r="AG298" s="518"/>
      <c r="AH298" s="512">
        <v>36012</v>
      </c>
      <c r="AJ298" s="513">
        <v>106.23302983559877</v>
      </c>
      <c r="AK298" s="514">
        <v>105.1948604625895</v>
      </c>
      <c r="AL298" s="513">
        <v>104.86113485125321</v>
      </c>
      <c r="AM298" s="512">
        <v>12</v>
      </c>
      <c r="AN298" s="512">
        <v>1000000</v>
      </c>
      <c r="AO298" s="512">
        <v>0.12</v>
      </c>
      <c r="AP298" s="523">
        <f>AE298*AH298*AJ298%*AM298/AN298*AO298</f>
        <v>0</v>
      </c>
      <c r="AQ298" s="523">
        <f t="shared" si="145"/>
        <v>0</v>
      </c>
      <c r="AR298" s="523">
        <f t="shared" si="146"/>
        <v>0</v>
      </c>
      <c r="AS298" s="512">
        <v>0.18</v>
      </c>
      <c r="AT298" s="523">
        <f t="shared" si="144"/>
        <v>9.9036</v>
      </c>
    </row>
    <row r="299" spans="1:46" ht="41.25" customHeight="1">
      <c r="A299" s="763"/>
      <c r="B299" s="742"/>
      <c r="C299" s="742"/>
      <c r="D299" s="489">
        <v>2013</v>
      </c>
      <c r="E299" s="578">
        <f>I299+K299</f>
        <v>7.300000000000001</v>
      </c>
      <c r="F299" s="578">
        <f>J299+L299</f>
        <v>6.3</v>
      </c>
      <c r="G299" s="569">
        <v>0</v>
      </c>
      <c r="H299" s="586"/>
      <c r="I299" s="578">
        <v>6.9</v>
      </c>
      <c r="J299" s="578">
        <v>5.72</v>
      </c>
      <c r="K299" s="569">
        <v>0.4</v>
      </c>
      <c r="L299" s="575">
        <v>0.58</v>
      </c>
      <c r="M299" s="569">
        <v>0</v>
      </c>
      <c r="N299" s="586"/>
      <c r="O299" s="569">
        <v>0</v>
      </c>
      <c r="P299" s="569"/>
      <c r="Q299" s="569">
        <v>0</v>
      </c>
      <c r="R299" s="569"/>
      <c r="S299" s="762"/>
      <c r="T299" s="762"/>
      <c r="U299" s="493">
        <f>AE299</f>
        <v>3</v>
      </c>
      <c r="V299" s="493"/>
      <c r="W299" s="577">
        <f>SUM(Y299:AC299)</f>
        <v>0.9536686792029899</v>
      </c>
      <c r="X299" s="577"/>
      <c r="Y299" s="577">
        <f>AT299</f>
        <v>0.7884</v>
      </c>
      <c r="Z299" s="577"/>
      <c r="AA299" s="577">
        <f>AR299</f>
        <v>0.08959215099594088</v>
      </c>
      <c r="AB299" s="577"/>
      <c r="AC299" s="577">
        <f>AQ299</f>
        <v>0.0756765282070491</v>
      </c>
      <c r="AD299" s="700"/>
      <c r="AE299" s="512">
        <f t="shared" si="139"/>
        <v>3</v>
      </c>
      <c r="AF299" s="520">
        <v>0</v>
      </c>
      <c r="AG299" s="512">
        <v>3</v>
      </c>
      <c r="AH299" s="512">
        <v>36012</v>
      </c>
      <c r="AJ299" s="513">
        <v>106.23302983559877</v>
      </c>
      <c r="AK299" s="514">
        <v>105.1948604625895</v>
      </c>
      <c r="AL299" s="513">
        <v>104.86113485125321</v>
      </c>
      <c r="AM299" s="512">
        <v>12</v>
      </c>
      <c r="AN299" s="512">
        <v>1000000</v>
      </c>
      <c r="AO299" s="512">
        <v>0.12</v>
      </c>
      <c r="AP299" s="523">
        <f>AE299*AH299*AJ299%*AM299/AN299*AO299</f>
        <v>0.16526867920299</v>
      </c>
      <c r="AQ299" s="523">
        <f t="shared" si="145"/>
        <v>0.0756765282070491</v>
      </c>
      <c r="AR299" s="523">
        <f t="shared" si="146"/>
        <v>0.08959215099594088</v>
      </c>
      <c r="AS299" s="512">
        <v>0.18</v>
      </c>
      <c r="AT299" s="523">
        <f t="shared" si="144"/>
        <v>0.7884</v>
      </c>
    </row>
    <row r="300" spans="1:46" ht="41.25" customHeight="1">
      <c r="A300" s="763"/>
      <c r="B300" s="742"/>
      <c r="C300" s="742"/>
      <c r="D300" s="489">
        <v>2014</v>
      </c>
      <c r="E300" s="578">
        <v>32.3</v>
      </c>
      <c r="F300" s="578">
        <v>5.58</v>
      </c>
      <c r="G300" s="569">
        <v>0</v>
      </c>
      <c r="H300" s="586"/>
      <c r="I300" s="578">
        <v>19.9</v>
      </c>
      <c r="J300" s="578"/>
      <c r="K300" s="569">
        <v>12.4</v>
      </c>
      <c r="L300" s="569">
        <v>5.58</v>
      </c>
      <c r="M300" s="569">
        <v>0</v>
      </c>
      <c r="N300" s="586"/>
      <c r="O300" s="569">
        <v>0</v>
      </c>
      <c r="P300" s="569"/>
      <c r="Q300" s="569">
        <v>0</v>
      </c>
      <c r="R300" s="569"/>
      <c r="S300" s="762"/>
      <c r="T300" s="762"/>
      <c r="U300" s="493">
        <f>AE300</f>
        <v>5</v>
      </c>
      <c r="V300" s="493"/>
      <c r="W300" s="577">
        <f>Y300+AA300+AC300</f>
        <v>3.761155966678471</v>
      </c>
      <c r="X300" s="577">
        <v>1.02</v>
      </c>
      <c r="Y300" s="577">
        <f>AT300</f>
        <v>3.4883999999999995</v>
      </c>
      <c r="Z300" s="577">
        <v>1.02</v>
      </c>
      <c r="AA300" s="577">
        <f>AR300</f>
        <v>0.14786100953639952</v>
      </c>
      <c r="AB300" s="577"/>
      <c r="AC300" s="577">
        <f>AQ300</f>
        <v>0.12489495714207217</v>
      </c>
      <c r="AD300" s="700"/>
      <c r="AE300" s="512">
        <f t="shared" si="139"/>
        <v>5</v>
      </c>
      <c r="AF300" s="520">
        <v>0</v>
      </c>
      <c r="AG300" s="512">
        <v>5</v>
      </c>
      <c r="AH300" s="512">
        <v>36012</v>
      </c>
      <c r="AJ300" s="513">
        <v>106.23302983559877</v>
      </c>
      <c r="AK300" s="514">
        <v>105.1948604625895</v>
      </c>
      <c r="AL300" s="513">
        <v>104.86113485125321</v>
      </c>
      <c r="AM300" s="512">
        <v>12</v>
      </c>
      <c r="AN300" s="512">
        <v>1000000</v>
      </c>
      <c r="AO300" s="512">
        <v>0.12</v>
      </c>
      <c r="AP300" s="523">
        <f>AE300*AH300*AK300%*AM300/AN300*AO300</f>
        <v>0.2727559666784717</v>
      </c>
      <c r="AQ300" s="523">
        <f t="shared" si="145"/>
        <v>0.12489495714207217</v>
      </c>
      <c r="AR300" s="523">
        <f t="shared" si="146"/>
        <v>0.14786100953639952</v>
      </c>
      <c r="AS300" s="512">
        <v>0.18</v>
      </c>
      <c r="AT300" s="523">
        <f t="shared" si="144"/>
        <v>3.4883999999999995</v>
      </c>
    </row>
    <row r="301" spans="1:46" s="644" customFormat="1" ht="41.25" customHeight="1">
      <c r="A301" s="763"/>
      <c r="B301" s="742"/>
      <c r="C301" s="742"/>
      <c r="D301" s="633">
        <v>2015</v>
      </c>
      <c r="E301" s="650">
        <v>52.1</v>
      </c>
      <c r="F301" s="650">
        <v>23.79</v>
      </c>
      <c r="G301" s="634">
        <v>0</v>
      </c>
      <c r="H301" s="667"/>
      <c r="I301" s="650">
        <v>10.75</v>
      </c>
      <c r="J301" s="650">
        <v>22.23</v>
      </c>
      <c r="K301" s="634">
        <v>41.35</v>
      </c>
      <c r="L301" s="634">
        <v>1.6</v>
      </c>
      <c r="M301" s="634">
        <v>0</v>
      </c>
      <c r="N301" s="667"/>
      <c r="O301" s="634">
        <v>0</v>
      </c>
      <c r="P301" s="634"/>
      <c r="Q301" s="634">
        <v>0</v>
      </c>
      <c r="R301" s="634"/>
      <c r="S301" s="762"/>
      <c r="T301" s="762"/>
      <c r="U301" s="637">
        <f>AE301</f>
        <v>7</v>
      </c>
      <c r="V301" s="637"/>
      <c r="W301" s="646">
        <f>SUM(Y301:AC301)</f>
        <v>6.007446926176943</v>
      </c>
      <c r="X301" s="646">
        <v>0.036</v>
      </c>
      <c r="Y301" s="646">
        <f>AT301</f>
        <v>5.626799999999999</v>
      </c>
      <c r="Z301" s="646"/>
      <c r="AA301" s="646">
        <f>AR301</f>
        <v>0.20634869868052116</v>
      </c>
      <c r="AB301" s="646"/>
      <c r="AC301" s="646">
        <f>AQ301</f>
        <v>0.17429822749642251</v>
      </c>
      <c r="AD301" s="701"/>
      <c r="AE301" s="638">
        <f t="shared" si="139"/>
        <v>7</v>
      </c>
      <c r="AF301" s="639">
        <v>0</v>
      </c>
      <c r="AG301" s="638">
        <v>7</v>
      </c>
      <c r="AH301" s="638">
        <v>36012</v>
      </c>
      <c r="AI301" s="638"/>
      <c r="AJ301" s="641">
        <v>106.23302983559877</v>
      </c>
      <c r="AK301" s="642">
        <v>105.1948604625895</v>
      </c>
      <c r="AL301" s="641">
        <v>104.86113485125321</v>
      </c>
      <c r="AM301" s="638">
        <v>12</v>
      </c>
      <c r="AN301" s="638">
        <v>1000000</v>
      </c>
      <c r="AO301" s="638">
        <v>0.12</v>
      </c>
      <c r="AP301" s="643">
        <f>AE301*AH301*AL301%*AM301/AN301*AO301</f>
        <v>0.3806469261769437</v>
      </c>
      <c r="AQ301" s="643">
        <f t="shared" si="145"/>
        <v>0.17429822749642251</v>
      </c>
      <c r="AR301" s="643">
        <f t="shared" si="146"/>
        <v>0.20634869868052116</v>
      </c>
      <c r="AS301" s="638">
        <v>0.18</v>
      </c>
      <c r="AT301" s="643">
        <f t="shared" si="144"/>
        <v>5.626799999999999</v>
      </c>
    </row>
    <row r="302" spans="1:46" s="553" customFormat="1" ht="18.75" customHeight="1">
      <c r="A302" s="803" t="s">
        <v>337</v>
      </c>
      <c r="B302" s="803"/>
      <c r="C302" s="803"/>
      <c r="D302" s="803"/>
      <c r="E302" s="803"/>
      <c r="F302" s="803"/>
      <c r="G302" s="803"/>
      <c r="H302" s="803"/>
      <c r="I302" s="803"/>
      <c r="J302" s="803"/>
      <c r="K302" s="803"/>
      <c r="L302" s="803"/>
      <c r="M302" s="803"/>
      <c r="N302" s="803"/>
      <c r="O302" s="803"/>
      <c r="P302" s="803"/>
      <c r="Q302" s="803"/>
      <c r="R302" s="803"/>
      <c r="S302" s="803"/>
      <c r="T302" s="803"/>
      <c r="U302" s="803"/>
      <c r="V302" s="803"/>
      <c r="W302" s="803"/>
      <c r="X302" s="803"/>
      <c r="Y302" s="803"/>
      <c r="Z302" s="803"/>
      <c r="AA302" s="803"/>
      <c r="AB302" s="803"/>
      <c r="AC302" s="803"/>
      <c r="AD302" s="696"/>
      <c r="AE302" s="554"/>
      <c r="AF302" s="554"/>
      <c r="AG302" s="554"/>
      <c r="AH302" s="554">
        <v>36012</v>
      </c>
      <c r="AI302" s="554"/>
      <c r="AJ302" s="555">
        <v>106.23302983559877</v>
      </c>
      <c r="AK302" s="556">
        <v>105.1948604625895</v>
      </c>
      <c r="AL302" s="555">
        <v>104.86113485125321</v>
      </c>
      <c r="AM302" s="554">
        <v>12</v>
      </c>
      <c r="AN302" s="554">
        <v>1000000</v>
      </c>
      <c r="AO302" s="554">
        <v>0.12</v>
      </c>
      <c r="AP302" s="563">
        <f>AE302*AH302*AJ302%*AM302/AN302*AO302</f>
        <v>0</v>
      </c>
      <c r="AQ302" s="563">
        <f t="shared" si="145"/>
        <v>0</v>
      </c>
      <c r="AR302" s="563">
        <f t="shared" si="146"/>
        <v>0</v>
      </c>
      <c r="AS302" s="554">
        <v>0.18</v>
      </c>
      <c r="AT302" s="563">
        <f t="shared" si="144"/>
        <v>0</v>
      </c>
    </row>
    <row r="303" spans="1:46" s="553" customFormat="1" ht="20.25" customHeight="1">
      <c r="A303" s="772"/>
      <c r="B303" s="771" t="s">
        <v>338</v>
      </c>
      <c r="C303" s="771"/>
      <c r="D303" s="558" t="s">
        <v>273</v>
      </c>
      <c r="E303" s="594">
        <f>G303+I303+K303+M303+O303+Q303</f>
        <v>5800.638000000001</v>
      </c>
      <c r="F303" s="594">
        <f>SUM(F304:F306)</f>
        <v>154.272</v>
      </c>
      <c r="G303" s="620">
        <f aca="true" t="shared" si="152" ref="G303:Q303">SUM(G304:G306)</f>
        <v>5629.130000000001</v>
      </c>
      <c r="H303" s="685">
        <f>SUM(H304:H306)</f>
        <v>105.521</v>
      </c>
      <c r="I303" s="594">
        <f>SUM(I304:I306)</f>
        <v>49.73</v>
      </c>
      <c r="J303" s="594">
        <f>SUM(J304:J306)</f>
        <v>19.0548</v>
      </c>
      <c r="K303" s="620">
        <f t="shared" si="152"/>
        <v>3.068</v>
      </c>
      <c r="L303" s="620">
        <f>SUM(L304:L306)</f>
        <v>3.7079999999999997</v>
      </c>
      <c r="M303" s="620">
        <f t="shared" si="152"/>
        <v>118.71000000000001</v>
      </c>
      <c r="N303" s="685">
        <f>SUM(N304:N306)</f>
        <v>25.938</v>
      </c>
      <c r="O303" s="620">
        <f t="shared" si="152"/>
        <v>0</v>
      </c>
      <c r="P303" s="620">
        <f>SUM(P304:P306)</f>
        <v>0</v>
      </c>
      <c r="Q303" s="620">
        <f t="shared" si="152"/>
        <v>0</v>
      </c>
      <c r="R303" s="620">
        <f>SUM(R304:R306)</f>
        <v>0</v>
      </c>
      <c r="S303" s="766"/>
      <c r="T303" s="766"/>
      <c r="U303" s="559">
        <f>SUM(U304:U306)</f>
        <v>1392</v>
      </c>
      <c r="V303" s="559"/>
      <c r="W303" s="594">
        <f>SUM(W304:W306)</f>
        <v>702.362864021799</v>
      </c>
      <c r="X303" s="594">
        <f aca="true" t="shared" si="153" ref="X303:AD303">SUM(X304:X306)</f>
        <v>9.93</v>
      </c>
      <c r="Y303" s="594">
        <f t="shared" si="153"/>
        <v>626.4690999999999</v>
      </c>
      <c r="Z303" s="594">
        <f t="shared" si="153"/>
        <v>7.92</v>
      </c>
      <c r="AA303" s="594">
        <f t="shared" si="153"/>
        <v>41.1420094762173</v>
      </c>
      <c r="AB303" s="594">
        <f t="shared" si="153"/>
        <v>0</v>
      </c>
      <c r="AC303" s="594">
        <f t="shared" si="153"/>
        <v>34.751754545581804</v>
      </c>
      <c r="AD303" s="685">
        <f t="shared" si="153"/>
        <v>0</v>
      </c>
      <c r="AE303" s="554"/>
      <c r="AF303" s="677">
        <f>SUM(AF304:AF306)</f>
        <v>0</v>
      </c>
      <c r="AG303" s="677">
        <f>SUM(AG304:AG306)</f>
        <v>1392</v>
      </c>
      <c r="AH303" s="554">
        <v>36012</v>
      </c>
      <c r="AI303" s="554"/>
      <c r="AJ303" s="555">
        <v>106.23302983559877</v>
      </c>
      <c r="AK303" s="556">
        <v>105.1948604625895</v>
      </c>
      <c r="AL303" s="555">
        <v>104.86113485125321</v>
      </c>
      <c r="AM303" s="554">
        <v>12</v>
      </c>
      <c r="AN303" s="554">
        <v>1000000</v>
      </c>
      <c r="AO303" s="554">
        <v>0.12</v>
      </c>
      <c r="AP303" s="563">
        <f>AE303*AH303*AJ303%*AM303/AN303*AO303</f>
        <v>0</v>
      </c>
      <c r="AQ303" s="563">
        <f t="shared" si="145"/>
        <v>0</v>
      </c>
      <c r="AR303" s="563">
        <f t="shared" si="146"/>
        <v>0</v>
      </c>
      <c r="AS303" s="554">
        <v>0.18</v>
      </c>
      <c r="AT303" s="563">
        <f t="shared" si="144"/>
        <v>626.4689040000001</v>
      </c>
    </row>
    <row r="304" spans="1:46" s="553" customFormat="1" ht="20.25" customHeight="1">
      <c r="A304" s="772"/>
      <c r="B304" s="771"/>
      <c r="C304" s="771"/>
      <c r="D304" s="558">
        <v>2013</v>
      </c>
      <c r="E304" s="594">
        <f>G304+I304+K304+M304+O304+Q304</f>
        <v>252.447</v>
      </c>
      <c r="F304" s="594">
        <f>F342+F346+F350+F336+F308+F358</f>
        <v>54.614999999999995</v>
      </c>
      <c r="G304" s="620">
        <f>G308+G312+G316+G320+G324+G328+G336+G342+G346+G350+G354+G358+G362+G332</f>
        <v>211.3</v>
      </c>
      <c r="H304" s="685">
        <f>H342+H346+H350+H336+H308+H358</f>
        <v>35.894</v>
      </c>
      <c r="I304" s="594">
        <f aca="true" t="shared" si="154" ref="G304:Q306">I308+I312+I316+I320+I324+I328+I336+I342+I346+I350+I354+I358+I362+I332</f>
        <v>0</v>
      </c>
      <c r="J304" s="594">
        <f>J342+J346+J350+J336+J308+J358</f>
        <v>0.0648</v>
      </c>
      <c r="K304" s="620">
        <f t="shared" si="154"/>
        <v>1.577</v>
      </c>
      <c r="L304" s="620">
        <f>L342+L346+L350+L336+L308+L358</f>
        <v>0.238</v>
      </c>
      <c r="M304" s="620">
        <f t="shared" si="154"/>
        <v>39.57</v>
      </c>
      <c r="N304" s="685">
        <f>N342+N346+N350+N336+N308+N358</f>
        <v>18.418</v>
      </c>
      <c r="O304" s="620">
        <f t="shared" si="154"/>
        <v>0</v>
      </c>
      <c r="P304" s="620">
        <f>P342+P346+P350+P336+P308+P358</f>
        <v>0</v>
      </c>
      <c r="Q304" s="620">
        <f t="shared" si="154"/>
        <v>0</v>
      </c>
      <c r="R304" s="620">
        <f>R342+R346+R350+R336+R308+R358</f>
        <v>0</v>
      </c>
      <c r="S304" s="766"/>
      <c r="T304" s="766"/>
      <c r="U304" s="559">
        <f>U308+U312+U316+U320+U324+U328+U336+U342+U346+U350+U354+U358+U362+U332</f>
        <v>20</v>
      </c>
      <c r="V304" s="559" t="s">
        <v>799</v>
      </c>
      <c r="W304" s="594">
        <f>SUM(Y304:AC304)</f>
        <v>28.3660671946866</v>
      </c>
      <c r="X304" s="594"/>
      <c r="Y304" s="594">
        <f aca="true" t="shared" si="155" ref="Y304:AC306">Y308+Y312+Y316+Y320+Y324+Y328+Y336+Y342+Y346+Y350+Y354+Y358+Y362+Y332</f>
        <v>27.264276000000002</v>
      </c>
      <c r="Z304" s="594"/>
      <c r="AA304" s="594">
        <f t="shared" si="155"/>
        <v>0.5972810066396058</v>
      </c>
      <c r="AB304" s="594"/>
      <c r="AC304" s="594">
        <f t="shared" si="155"/>
        <v>0.5045101880469941</v>
      </c>
      <c r="AD304" s="696"/>
      <c r="AE304" s="554"/>
      <c r="AF304" s="677">
        <f aca="true" t="shared" si="156" ref="AF304:AG306">AF308+AF312+AF316+AF320+AF324+AF328+AF336+AF342+AF346+AF350+AF354+AF358+AF362+AF332</f>
        <v>0</v>
      </c>
      <c r="AG304" s="677">
        <f t="shared" si="156"/>
        <v>20</v>
      </c>
      <c r="AH304" s="554">
        <v>36012</v>
      </c>
      <c r="AI304" s="554"/>
      <c r="AJ304" s="555">
        <v>106.23302983559877</v>
      </c>
      <c r="AK304" s="556">
        <v>105.1948604625895</v>
      </c>
      <c r="AL304" s="555">
        <v>104.86113485125321</v>
      </c>
      <c r="AM304" s="554">
        <v>12</v>
      </c>
      <c r="AN304" s="554">
        <v>1000000</v>
      </c>
      <c r="AO304" s="554">
        <v>0.12</v>
      </c>
      <c r="AP304" s="563">
        <f>AE304*AH304*AJ304%*AM304/AN304*AO304</f>
        <v>0</v>
      </c>
      <c r="AQ304" s="563">
        <f t="shared" si="145"/>
        <v>0</v>
      </c>
      <c r="AR304" s="563">
        <f t="shared" si="146"/>
        <v>0</v>
      </c>
      <c r="AS304" s="554">
        <v>0.18</v>
      </c>
      <c r="AT304" s="563">
        <f t="shared" si="144"/>
        <v>27.264276</v>
      </c>
    </row>
    <row r="305" spans="1:46" s="553" customFormat="1" ht="20.25" customHeight="1">
      <c r="A305" s="772"/>
      <c r="B305" s="771"/>
      <c r="C305" s="771"/>
      <c r="D305" s="558">
        <v>2014</v>
      </c>
      <c r="E305" s="594">
        <f>G305+M305</f>
        <v>2735.4700000000003</v>
      </c>
      <c r="F305" s="594">
        <f>F343+F347+F351+F337+F309+F359+F321+F325</f>
        <v>68.192</v>
      </c>
      <c r="G305" s="620">
        <f t="shared" si="154"/>
        <v>2695.9</v>
      </c>
      <c r="H305" s="685">
        <f>H321+H325+H359</f>
        <v>39.74</v>
      </c>
      <c r="I305" s="594">
        <f t="shared" si="154"/>
        <v>0</v>
      </c>
      <c r="J305" s="594">
        <f>J343+J347+J351+J337+J309+J359+J321+J325</f>
        <v>17.59</v>
      </c>
      <c r="K305" s="620">
        <f t="shared" si="154"/>
        <v>0</v>
      </c>
      <c r="L305" s="620">
        <f>L343+L347+L351+L337+L309+L359+L321+L325</f>
        <v>3.4699999999999998</v>
      </c>
      <c r="M305" s="620">
        <f t="shared" si="154"/>
        <v>39.57</v>
      </c>
      <c r="N305" s="685">
        <f>N343+N347+N351+N337+N309+N359</f>
        <v>7.3420000000000005</v>
      </c>
      <c r="O305" s="620">
        <f t="shared" si="154"/>
        <v>0</v>
      </c>
      <c r="P305" s="620"/>
      <c r="Q305" s="620">
        <f t="shared" si="154"/>
        <v>0</v>
      </c>
      <c r="R305" s="620"/>
      <c r="S305" s="766"/>
      <c r="T305" s="766"/>
      <c r="U305" s="559">
        <f>U309+U313+U317+U321+U325+U329+U337+U343+U347+U351+U355+U359+U363+U333</f>
        <v>1070</v>
      </c>
      <c r="V305" s="620">
        <f>V343+V347+V351+V337+V309+V359</f>
        <v>0</v>
      </c>
      <c r="W305" s="594">
        <f>Y305+AA305+AC305</f>
        <v>353.8005368691929</v>
      </c>
      <c r="X305" s="594">
        <f>X343+X347+X351+X337+X309+X359+X321+X325</f>
        <v>7.92</v>
      </c>
      <c r="Y305" s="731">
        <f t="shared" si="155"/>
        <v>295.43075999999996</v>
      </c>
      <c r="Z305" s="594">
        <f>Z343+Z347+Z351+Z337+Z309+Z359+Z321+Z325</f>
        <v>7.92</v>
      </c>
      <c r="AA305" s="594">
        <f t="shared" si="155"/>
        <v>31.64225604078949</v>
      </c>
      <c r="AB305" s="594">
        <f>AB343+AB347+AB351+AB337+AB309+AB359</f>
        <v>0</v>
      </c>
      <c r="AC305" s="594">
        <f t="shared" si="155"/>
        <v>26.727520828403442</v>
      </c>
      <c r="AD305" s="685">
        <f>AD343+AD347+AD351+AD337+AD309+AD359</f>
        <v>0</v>
      </c>
      <c r="AE305" s="554"/>
      <c r="AF305" s="677">
        <f t="shared" si="156"/>
        <v>0</v>
      </c>
      <c r="AG305" s="677">
        <f t="shared" si="156"/>
        <v>1070</v>
      </c>
      <c r="AH305" s="554">
        <v>36012</v>
      </c>
      <c r="AI305" s="554"/>
      <c r="AJ305" s="555">
        <v>106.23302983559877</v>
      </c>
      <c r="AK305" s="556">
        <v>105.1948604625895</v>
      </c>
      <c r="AL305" s="555">
        <v>104.86113485125321</v>
      </c>
      <c r="AM305" s="554">
        <v>12</v>
      </c>
      <c r="AN305" s="554">
        <v>1000000</v>
      </c>
      <c r="AO305" s="554">
        <v>0.12</v>
      </c>
      <c r="AP305" s="563">
        <f>AE305*AH305*AK305%*AM305/AN305*AO305</f>
        <v>0</v>
      </c>
      <c r="AQ305" s="563">
        <f t="shared" si="145"/>
        <v>0</v>
      </c>
      <c r="AR305" s="563">
        <f t="shared" si="146"/>
        <v>0</v>
      </c>
      <c r="AS305" s="554">
        <v>0.18</v>
      </c>
      <c r="AT305" s="563">
        <f t="shared" si="144"/>
        <v>295.43076</v>
      </c>
    </row>
    <row r="306" spans="1:46" s="553" customFormat="1" ht="20.25" customHeight="1">
      <c r="A306" s="772"/>
      <c r="B306" s="771"/>
      <c r="C306" s="771"/>
      <c r="D306" s="558">
        <v>2015</v>
      </c>
      <c r="E306" s="594">
        <f>E310+E314+E318+E322+E326+E330+E334+E338+E344+E348+E352+E356+E360+E364</f>
        <v>2812.658</v>
      </c>
      <c r="F306" s="594">
        <f>F310+F314+F318+F322+F326+F330+F334+F338+F344+F348+F352+F356+F356+F360+F364</f>
        <v>31.465</v>
      </c>
      <c r="G306" s="620">
        <f t="shared" si="154"/>
        <v>2721.9300000000003</v>
      </c>
      <c r="H306" s="685">
        <f>H310+H314+H318+H322+H326+H330+H334+H338+H344+H348+H352+H356+H356+H360+H364</f>
        <v>29.887</v>
      </c>
      <c r="I306" s="594">
        <f t="shared" si="154"/>
        <v>49.73</v>
      </c>
      <c r="J306" s="594">
        <f>J310+J314+J318+J322+J326+J330+J334+J338+J344+J348+J352+J356+J356+J360+J364</f>
        <v>1.4</v>
      </c>
      <c r="K306" s="620">
        <f t="shared" si="154"/>
        <v>1.491</v>
      </c>
      <c r="L306" s="620">
        <f>L310+L314+L318+L322+L326+L330+L334+L338+L344+L348+L352+L356+L356+L360+L364</f>
        <v>0</v>
      </c>
      <c r="M306" s="620">
        <f t="shared" si="154"/>
        <v>39.57</v>
      </c>
      <c r="N306" s="685">
        <f>N310+N314+N318+N322+N326+N330+N334+N338+N344+N348+N352+N356+N356+N360+N364</f>
        <v>0.178</v>
      </c>
      <c r="O306" s="620">
        <f t="shared" si="154"/>
        <v>0</v>
      </c>
      <c r="P306" s="620">
        <f>P310+P314+P318+P322+P326+P330+P334+P338+P344+P348+P352+P356+P356+P360+P364</f>
        <v>0</v>
      </c>
      <c r="Q306" s="620">
        <f t="shared" si="154"/>
        <v>0</v>
      </c>
      <c r="R306" s="620">
        <f>R310+R314+R318+R322+R326+R330+R334+R338+R344+R348+R352+R356+R356+R360+R364</f>
        <v>0</v>
      </c>
      <c r="S306" s="766"/>
      <c r="T306" s="766"/>
      <c r="U306" s="559">
        <f>U310+U314+U318+U322+U326+U330+U338+U344+U348+U352+U356+U360+U364+U334</f>
        <v>302</v>
      </c>
      <c r="V306" s="620" t="s">
        <v>837</v>
      </c>
      <c r="W306" s="594">
        <f>Y306+AA306+AC306</f>
        <v>320.19625995791955</v>
      </c>
      <c r="X306" s="594">
        <f>X310+X314+X318+X322+X326+X330+X334+X338+X344+X348+X352+X356+X356+X360+X364</f>
        <v>2.01</v>
      </c>
      <c r="Y306" s="731">
        <f t="shared" si="155"/>
        <v>303.77406399999995</v>
      </c>
      <c r="Z306" s="594">
        <f>Z310+Z314+Z318+Z322+Z326+Z330+Z334+Z338+Z344+Z348+Z352+Z356+Z356+Z360+Z364</f>
        <v>0</v>
      </c>
      <c r="AA306" s="594">
        <f t="shared" si="155"/>
        <v>8.9024724287882</v>
      </c>
      <c r="AB306" s="594">
        <f>AB310+AB314+AB318+AB322+AB326+AB330+AB334+AB338+AB344+AB348+AB352+AB356+AB356+AB360+AB364</f>
        <v>0</v>
      </c>
      <c r="AC306" s="594">
        <f t="shared" si="155"/>
        <v>7.5197235291313715</v>
      </c>
      <c r="AD306" s="685">
        <f>AD310+AD314+AD318+AD322+AD326+AD330+AD334+AD338+AD344+AD348+AD352+AD356+AD356+AD360+AD364</f>
        <v>0</v>
      </c>
      <c r="AE306" s="554"/>
      <c r="AF306" s="677">
        <f t="shared" si="156"/>
        <v>0</v>
      </c>
      <c r="AG306" s="677">
        <f t="shared" si="156"/>
        <v>302</v>
      </c>
      <c r="AH306" s="554">
        <v>36012</v>
      </c>
      <c r="AI306" s="554"/>
      <c r="AJ306" s="555">
        <v>106.23302983559877</v>
      </c>
      <c r="AK306" s="556">
        <v>105.1948604625895</v>
      </c>
      <c r="AL306" s="555">
        <v>104.86113485125321</v>
      </c>
      <c r="AM306" s="554">
        <v>12</v>
      </c>
      <c r="AN306" s="554">
        <v>1000000</v>
      </c>
      <c r="AO306" s="554">
        <v>0.12</v>
      </c>
      <c r="AP306" s="563">
        <f>AE306*AH306*AL306%*AM306/AN306*AO306</f>
        <v>0</v>
      </c>
      <c r="AQ306" s="563">
        <f t="shared" si="145"/>
        <v>0</v>
      </c>
      <c r="AR306" s="563">
        <f t="shared" si="146"/>
        <v>0</v>
      </c>
      <c r="AS306" s="554">
        <v>0.18</v>
      </c>
      <c r="AT306" s="563">
        <f t="shared" si="144"/>
        <v>303.76706399999995</v>
      </c>
    </row>
    <row r="307" spans="1:46" ht="30.75" customHeight="1">
      <c r="A307" s="763">
        <v>1</v>
      </c>
      <c r="B307" s="742" t="s">
        <v>629</v>
      </c>
      <c r="C307" s="742" t="s">
        <v>336</v>
      </c>
      <c r="D307" s="568" t="s">
        <v>273</v>
      </c>
      <c r="E307" s="578">
        <f aca="true" t="shared" si="157" ref="E307:E331">SUM(G307:Q307)</f>
        <v>80.816</v>
      </c>
      <c r="F307" s="578"/>
      <c r="G307" s="569">
        <f aca="true" t="shared" si="158" ref="G307:Q307">SUM(G308:G310)</f>
        <v>52.8</v>
      </c>
      <c r="H307" s="586"/>
      <c r="I307" s="578">
        <f t="shared" si="158"/>
        <v>27.2</v>
      </c>
      <c r="J307" s="578"/>
      <c r="K307" s="569">
        <f t="shared" si="158"/>
        <v>0.816</v>
      </c>
      <c r="L307" s="569"/>
      <c r="M307" s="569">
        <f t="shared" si="158"/>
        <v>0</v>
      </c>
      <c r="N307" s="586"/>
      <c r="O307" s="569">
        <f t="shared" si="158"/>
        <v>0</v>
      </c>
      <c r="P307" s="569"/>
      <c r="Q307" s="569">
        <f t="shared" si="158"/>
        <v>0</v>
      </c>
      <c r="R307" s="569"/>
      <c r="S307" s="762" t="s">
        <v>585</v>
      </c>
      <c r="T307" s="762" t="s">
        <v>312</v>
      </c>
      <c r="U307" s="493">
        <f>SUM(U308:U310)</f>
        <v>10</v>
      </c>
      <c r="V307" s="493"/>
      <c r="W307" s="577">
        <f>SUM(W308:W310)</f>
        <v>9.27190932310992</v>
      </c>
      <c r="X307" s="577"/>
      <c r="Y307" s="577">
        <f>SUM(Y308:Y310)</f>
        <v>8.728128</v>
      </c>
      <c r="Z307" s="577"/>
      <c r="AA307" s="577">
        <f>SUM(AA308:AA310)</f>
        <v>0.2947838552578875</v>
      </c>
      <c r="AB307" s="577"/>
      <c r="AC307" s="577">
        <f>SUM(AC308:AC310)</f>
        <v>0.2489974678520322</v>
      </c>
      <c r="AD307" s="700"/>
      <c r="AE307" s="525"/>
      <c r="AF307" s="520"/>
      <c r="AG307" s="520"/>
      <c r="AH307" s="512">
        <v>36012</v>
      </c>
      <c r="AJ307" s="513">
        <v>106.23302983559877</v>
      </c>
      <c r="AK307" s="514">
        <v>105.1948604625895</v>
      </c>
      <c r="AL307" s="513">
        <v>104.86113485125321</v>
      </c>
      <c r="AM307" s="512">
        <v>12</v>
      </c>
      <c r="AN307" s="512">
        <v>1000000</v>
      </c>
      <c r="AO307" s="512">
        <v>0.12</v>
      </c>
      <c r="AP307" s="523">
        <f>AE307*AH307*AJ307%*AM307/AN307*AO307</f>
        <v>0</v>
      </c>
      <c r="AQ307" s="523">
        <f t="shared" si="145"/>
        <v>0</v>
      </c>
      <c r="AR307" s="523">
        <f t="shared" si="146"/>
        <v>0</v>
      </c>
      <c r="AS307" s="512">
        <v>0.18</v>
      </c>
      <c r="AT307" s="523">
        <f t="shared" si="144"/>
        <v>8.728128</v>
      </c>
    </row>
    <row r="308" spans="1:46" ht="30.75" customHeight="1">
      <c r="A308" s="763"/>
      <c r="B308" s="742"/>
      <c r="C308" s="742"/>
      <c r="D308" s="568">
        <v>2013</v>
      </c>
      <c r="E308" s="578">
        <v>0</v>
      </c>
      <c r="F308" s="578">
        <v>0.303</v>
      </c>
      <c r="G308" s="569">
        <v>0</v>
      </c>
      <c r="H308" s="586"/>
      <c r="I308" s="578">
        <v>0</v>
      </c>
      <c r="J308" s="578">
        <v>0.0648</v>
      </c>
      <c r="K308" s="569">
        <v>0</v>
      </c>
      <c r="L308" s="569">
        <v>0.238</v>
      </c>
      <c r="M308" s="569">
        <v>0</v>
      </c>
      <c r="N308" s="586"/>
      <c r="O308" s="569">
        <v>0</v>
      </c>
      <c r="P308" s="569"/>
      <c r="Q308" s="569">
        <v>0</v>
      </c>
      <c r="R308" s="569"/>
      <c r="S308" s="762"/>
      <c r="T308" s="762"/>
      <c r="U308" s="493">
        <f>AE308</f>
        <v>0</v>
      </c>
      <c r="V308" s="493"/>
      <c r="W308" s="577">
        <f>SUM(Y308:AC308)</f>
        <v>0</v>
      </c>
      <c r="X308" s="577"/>
      <c r="Y308" s="577">
        <f>AT308</f>
        <v>0</v>
      </c>
      <c r="Z308" s="577"/>
      <c r="AA308" s="577">
        <f>AR308</f>
        <v>0</v>
      </c>
      <c r="AB308" s="577"/>
      <c r="AC308" s="577">
        <f>AQ308</f>
        <v>0</v>
      </c>
      <c r="AD308" s="700"/>
      <c r="AE308" s="512">
        <f t="shared" si="139"/>
        <v>0</v>
      </c>
      <c r="AF308" s="520">
        <v>0</v>
      </c>
      <c r="AH308" s="512">
        <v>36012</v>
      </c>
      <c r="AJ308" s="513">
        <v>106.23302983559877</v>
      </c>
      <c r="AK308" s="514">
        <v>105.1948604625895</v>
      </c>
      <c r="AL308" s="513">
        <v>104.86113485125321</v>
      </c>
      <c r="AM308" s="512">
        <v>12</v>
      </c>
      <c r="AN308" s="512">
        <v>1000000</v>
      </c>
      <c r="AO308" s="512">
        <v>0.12</v>
      </c>
      <c r="AP308" s="523">
        <f>AE308*AH308*AJ308%*AM308/AN308*AO308</f>
        <v>0</v>
      </c>
      <c r="AQ308" s="523">
        <f t="shared" si="145"/>
        <v>0</v>
      </c>
      <c r="AR308" s="523">
        <f t="shared" si="146"/>
        <v>0</v>
      </c>
      <c r="AS308" s="512">
        <v>0.18</v>
      </c>
      <c r="AT308" s="523">
        <f t="shared" si="144"/>
        <v>0</v>
      </c>
    </row>
    <row r="309" spans="1:46" ht="30.75" customHeight="1">
      <c r="A309" s="763"/>
      <c r="B309" s="742"/>
      <c r="C309" s="742"/>
      <c r="D309" s="568">
        <v>2014</v>
      </c>
      <c r="E309" s="578">
        <v>0</v>
      </c>
      <c r="F309" s="578">
        <v>2.84</v>
      </c>
      <c r="G309" s="569">
        <v>0</v>
      </c>
      <c r="H309" s="586"/>
      <c r="I309" s="578">
        <v>0</v>
      </c>
      <c r="J309" s="578">
        <v>2.8</v>
      </c>
      <c r="K309" s="569">
        <v>0</v>
      </c>
      <c r="L309" s="569"/>
      <c r="M309" s="569">
        <v>0</v>
      </c>
      <c r="N309" s="586"/>
      <c r="O309" s="569">
        <v>0</v>
      </c>
      <c r="P309" s="569"/>
      <c r="Q309" s="569">
        <v>0</v>
      </c>
      <c r="R309" s="569"/>
      <c r="S309" s="762"/>
      <c r="T309" s="762"/>
      <c r="U309" s="493">
        <f>AE309</f>
        <v>0</v>
      </c>
      <c r="V309" s="493"/>
      <c r="W309" s="577">
        <f>SUM(Y309:AC309)</f>
        <v>0</v>
      </c>
      <c r="X309" s="577"/>
      <c r="Y309" s="577">
        <f>AT309</f>
        <v>0</v>
      </c>
      <c r="Z309" s="577"/>
      <c r="AA309" s="577">
        <f>AR309</f>
        <v>0</v>
      </c>
      <c r="AB309" s="577"/>
      <c r="AC309" s="577">
        <f>AQ309</f>
        <v>0</v>
      </c>
      <c r="AD309" s="700"/>
      <c r="AE309" s="512">
        <f t="shared" si="139"/>
        <v>0</v>
      </c>
      <c r="AF309" s="520">
        <v>0</v>
      </c>
      <c r="AH309" s="512">
        <v>36012</v>
      </c>
      <c r="AJ309" s="513">
        <v>106.23302983559877</v>
      </c>
      <c r="AK309" s="514">
        <v>105.1948604625895</v>
      </c>
      <c r="AL309" s="513">
        <v>104.86113485125321</v>
      </c>
      <c r="AM309" s="512">
        <v>12</v>
      </c>
      <c r="AN309" s="512">
        <v>1000000</v>
      </c>
      <c r="AO309" s="512">
        <v>0.12</v>
      </c>
      <c r="AP309" s="523">
        <f>AE309*AH309*AK309%*AM309/AN309*AO309</f>
        <v>0</v>
      </c>
      <c r="AQ309" s="523">
        <f t="shared" si="145"/>
        <v>0</v>
      </c>
      <c r="AR309" s="523">
        <f t="shared" si="146"/>
        <v>0</v>
      </c>
      <c r="AS309" s="512">
        <v>0.18</v>
      </c>
      <c r="AT309" s="523">
        <f t="shared" si="144"/>
        <v>0</v>
      </c>
    </row>
    <row r="310" spans="1:46" ht="30.75" customHeight="1">
      <c r="A310" s="763"/>
      <c r="B310" s="742"/>
      <c r="C310" s="742"/>
      <c r="D310" s="491">
        <v>2015</v>
      </c>
      <c r="E310" s="578">
        <f t="shared" si="157"/>
        <v>80.816</v>
      </c>
      <c r="F310" s="578"/>
      <c r="G310" s="492">
        <v>52.8</v>
      </c>
      <c r="H310" s="622"/>
      <c r="I310" s="577">
        <v>27.2</v>
      </c>
      <c r="J310" s="577"/>
      <c r="K310" s="492">
        <v>0.816</v>
      </c>
      <c r="L310" s="492"/>
      <c r="M310" s="569">
        <v>0</v>
      </c>
      <c r="N310" s="586"/>
      <c r="O310" s="569">
        <v>0</v>
      </c>
      <c r="P310" s="569"/>
      <c r="Q310" s="569">
        <v>0</v>
      </c>
      <c r="R310" s="569"/>
      <c r="S310" s="762"/>
      <c r="T310" s="762"/>
      <c r="U310" s="493">
        <f>AE310</f>
        <v>10</v>
      </c>
      <c r="V310" s="493"/>
      <c r="W310" s="577">
        <f>SUM(Y310:AC310)</f>
        <v>9.27190932310992</v>
      </c>
      <c r="X310" s="577"/>
      <c r="Y310" s="577">
        <f>AT310</f>
        <v>8.728128</v>
      </c>
      <c r="Z310" s="577"/>
      <c r="AA310" s="577">
        <f>AR310</f>
        <v>0.2947838552578875</v>
      </c>
      <c r="AB310" s="577"/>
      <c r="AC310" s="577">
        <f>AQ310</f>
        <v>0.2489974678520322</v>
      </c>
      <c r="AD310" s="700"/>
      <c r="AE310" s="512">
        <f t="shared" si="139"/>
        <v>10</v>
      </c>
      <c r="AF310" s="520">
        <v>0</v>
      </c>
      <c r="AG310" s="512">
        <v>10</v>
      </c>
      <c r="AH310" s="512">
        <v>36012</v>
      </c>
      <c r="AJ310" s="513">
        <v>106.23302983559877</v>
      </c>
      <c r="AK310" s="514">
        <v>105.1948604625895</v>
      </c>
      <c r="AL310" s="513">
        <v>104.86113485125321</v>
      </c>
      <c r="AM310" s="512">
        <v>12</v>
      </c>
      <c r="AN310" s="512">
        <v>1000000</v>
      </c>
      <c r="AO310" s="512">
        <v>0.12</v>
      </c>
      <c r="AP310" s="523">
        <f>AE310*AH310*AL310%*AM310/AN310*AO310</f>
        <v>0.5437813231099197</v>
      </c>
      <c r="AQ310" s="523">
        <f t="shared" si="145"/>
        <v>0.2489974678520322</v>
      </c>
      <c r="AR310" s="523">
        <f t="shared" si="146"/>
        <v>0.2947838552578875</v>
      </c>
      <c r="AS310" s="512">
        <v>0.18</v>
      </c>
      <c r="AT310" s="523">
        <f t="shared" si="144"/>
        <v>8.728128</v>
      </c>
    </row>
    <row r="311" spans="1:46" ht="33.75" customHeight="1">
      <c r="A311" s="846">
        <v>2</v>
      </c>
      <c r="B311" s="742" t="s">
        <v>275</v>
      </c>
      <c r="C311" s="742" t="s">
        <v>336</v>
      </c>
      <c r="D311" s="568" t="s">
        <v>273</v>
      </c>
      <c r="E311" s="578">
        <f t="shared" si="157"/>
        <v>0.969</v>
      </c>
      <c r="F311" s="578"/>
      <c r="G311" s="575">
        <f aca="true" t="shared" si="159" ref="G311:Q311">SUM(G312:G314)</f>
        <v>0.63</v>
      </c>
      <c r="H311" s="586"/>
      <c r="I311" s="578">
        <f t="shared" si="159"/>
        <v>0.33</v>
      </c>
      <c r="J311" s="578"/>
      <c r="K311" s="575">
        <f t="shared" si="159"/>
        <v>0.009</v>
      </c>
      <c r="L311" s="575"/>
      <c r="M311" s="569">
        <f t="shared" si="159"/>
        <v>0</v>
      </c>
      <c r="N311" s="586"/>
      <c r="O311" s="569">
        <f t="shared" si="159"/>
        <v>0</v>
      </c>
      <c r="P311" s="569"/>
      <c r="Q311" s="569">
        <f t="shared" si="159"/>
        <v>0</v>
      </c>
      <c r="R311" s="569"/>
      <c r="S311" s="762" t="s">
        <v>585</v>
      </c>
      <c r="T311" s="762" t="s">
        <v>313</v>
      </c>
      <c r="U311" s="493">
        <f>SUM(U312:U314)</f>
        <v>12</v>
      </c>
      <c r="V311" s="493"/>
      <c r="W311" s="577">
        <f>SUM(W312:W314)</f>
        <v>0.7571895877319035</v>
      </c>
      <c r="X311" s="577"/>
      <c r="Y311" s="577">
        <f>SUM(Y312:Y314)</f>
        <v>0.10465199999999998</v>
      </c>
      <c r="Z311" s="577"/>
      <c r="AA311" s="577">
        <f>SUM(AA312:AA314)</f>
        <v>0.3537406263094649</v>
      </c>
      <c r="AB311" s="577"/>
      <c r="AC311" s="577">
        <f>SUM(AC312:AC314)</f>
        <v>0.2987969614224386</v>
      </c>
      <c r="AD311" s="700"/>
      <c r="AF311" s="520"/>
      <c r="AG311" s="520"/>
      <c r="AH311" s="512">
        <v>36012</v>
      </c>
      <c r="AJ311" s="513">
        <v>106.23302983559877</v>
      </c>
      <c r="AK311" s="514">
        <v>105.1948604625895</v>
      </c>
      <c r="AL311" s="513">
        <v>104.86113485125321</v>
      </c>
      <c r="AM311" s="512">
        <v>12</v>
      </c>
      <c r="AN311" s="512">
        <v>1000000</v>
      </c>
      <c r="AO311" s="512">
        <v>0.12</v>
      </c>
      <c r="AP311" s="523">
        <f>AE311*AH311*AJ311%*AM311/AN311*AO311</f>
        <v>0</v>
      </c>
      <c r="AQ311" s="523">
        <f t="shared" si="145"/>
        <v>0</v>
      </c>
      <c r="AR311" s="523">
        <f t="shared" si="146"/>
        <v>0</v>
      </c>
      <c r="AS311" s="512">
        <v>0.18</v>
      </c>
      <c r="AT311" s="523">
        <f t="shared" si="144"/>
        <v>0.10465199999999998</v>
      </c>
    </row>
    <row r="312" spans="1:46" ht="33.75" customHeight="1">
      <c r="A312" s="846"/>
      <c r="B312" s="742"/>
      <c r="C312" s="742"/>
      <c r="D312" s="568">
        <v>2013</v>
      </c>
      <c r="E312" s="578">
        <f t="shared" si="157"/>
        <v>0</v>
      </c>
      <c r="F312" s="578"/>
      <c r="G312" s="569">
        <v>0</v>
      </c>
      <c r="H312" s="586"/>
      <c r="I312" s="578">
        <v>0</v>
      </c>
      <c r="J312" s="578"/>
      <c r="K312" s="569">
        <v>0</v>
      </c>
      <c r="L312" s="569"/>
      <c r="M312" s="569">
        <v>0</v>
      </c>
      <c r="N312" s="586"/>
      <c r="O312" s="569">
        <v>0</v>
      </c>
      <c r="P312" s="569"/>
      <c r="Q312" s="569">
        <v>0</v>
      </c>
      <c r="R312" s="569"/>
      <c r="S312" s="762"/>
      <c r="T312" s="762"/>
      <c r="U312" s="493">
        <f>AE312</f>
        <v>0</v>
      </c>
      <c r="V312" s="493"/>
      <c r="W312" s="577">
        <f>SUM(Y312:AC312)</f>
        <v>0</v>
      </c>
      <c r="X312" s="577"/>
      <c r="Y312" s="577">
        <f>AT312</f>
        <v>0</v>
      </c>
      <c r="Z312" s="577"/>
      <c r="AA312" s="577">
        <f>AR312</f>
        <v>0</v>
      </c>
      <c r="AB312" s="577"/>
      <c r="AC312" s="577">
        <f>AQ312</f>
        <v>0</v>
      </c>
      <c r="AD312" s="700"/>
      <c r="AE312" s="512">
        <f t="shared" si="139"/>
        <v>0</v>
      </c>
      <c r="AF312" s="520">
        <v>0</v>
      </c>
      <c r="AH312" s="512">
        <v>36012</v>
      </c>
      <c r="AJ312" s="513">
        <v>106.23302983559877</v>
      </c>
      <c r="AK312" s="514">
        <v>105.1948604625895</v>
      </c>
      <c r="AL312" s="513">
        <v>104.86113485125321</v>
      </c>
      <c r="AM312" s="512">
        <v>12</v>
      </c>
      <c r="AN312" s="512">
        <v>1000000</v>
      </c>
      <c r="AO312" s="512">
        <v>0.12</v>
      </c>
      <c r="AP312" s="523">
        <f>AE312*AH312*AJ312%*AM312/AN312*AO312</f>
        <v>0</v>
      </c>
      <c r="AQ312" s="523">
        <f t="shared" si="145"/>
        <v>0</v>
      </c>
      <c r="AR312" s="523">
        <f t="shared" si="146"/>
        <v>0</v>
      </c>
      <c r="AS312" s="512">
        <v>0.18</v>
      </c>
      <c r="AT312" s="523">
        <f t="shared" si="144"/>
        <v>0</v>
      </c>
    </row>
    <row r="313" spans="1:46" ht="33.75" customHeight="1">
      <c r="A313" s="846"/>
      <c r="B313" s="742"/>
      <c r="C313" s="742"/>
      <c r="D313" s="568">
        <v>2014</v>
      </c>
      <c r="E313" s="578">
        <f t="shared" si="157"/>
        <v>0</v>
      </c>
      <c r="F313" s="578"/>
      <c r="G313" s="569">
        <v>0</v>
      </c>
      <c r="H313" s="586"/>
      <c r="I313" s="578">
        <v>0</v>
      </c>
      <c r="J313" s="578"/>
      <c r="K313" s="569">
        <v>0</v>
      </c>
      <c r="L313" s="569"/>
      <c r="M313" s="569">
        <v>0</v>
      </c>
      <c r="N313" s="586"/>
      <c r="O313" s="569">
        <v>0</v>
      </c>
      <c r="P313" s="569"/>
      <c r="Q313" s="569">
        <v>0</v>
      </c>
      <c r="R313" s="569"/>
      <c r="S313" s="762"/>
      <c r="T313" s="762"/>
      <c r="U313" s="493">
        <f>AE313</f>
        <v>0</v>
      </c>
      <c r="V313" s="493"/>
      <c r="W313" s="577">
        <f>SUM(Y313:AC313)</f>
        <v>0</v>
      </c>
      <c r="X313" s="577"/>
      <c r="Y313" s="577">
        <f>AT313</f>
        <v>0</v>
      </c>
      <c r="Z313" s="577"/>
      <c r="AA313" s="577">
        <f>AR313</f>
        <v>0</v>
      </c>
      <c r="AB313" s="577"/>
      <c r="AC313" s="577">
        <f>AQ313</f>
        <v>0</v>
      </c>
      <c r="AD313" s="700"/>
      <c r="AE313" s="512">
        <f t="shared" si="139"/>
        <v>0</v>
      </c>
      <c r="AF313" s="520">
        <v>0</v>
      </c>
      <c r="AH313" s="512">
        <v>36012</v>
      </c>
      <c r="AJ313" s="513">
        <v>106.23302983559877</v>
      </c>
      <c r="AK313" s="514">
        <v>105.1948604625895</v>
      </c>
      <c r="AL313" s="513">
        <v>104.86113485125321</v>
      </c>
      <c r="AM313" s="512">
        <v>12</v>
      </c>
      <c r="AN313" s="512">
        <v>1000000</v>
      </c>
      <c r="AO313" s="512">
        <v>0.12</v>
      </c>
      <c r="AP313" s="523">
        <f>AE313*AH313*AK313%*AM313/AN313*AO313</f>
        <v>0</v>
      </c>
      <c r="AQ313" s="523">
        <f t="shared" si="145"/>
        <v>0</v>
      </c>
      <c r="AR313" s="523">
        <f t="shared" si="146"/>
        <v>0</v>
      </c>
      <c r="AS313" s="512">
        <v>0.18</v>
      </c>
      <c r="AT313" s="523">
        <f t="shared" si="144"/>
        <v>0</v>
      </c>
    </row>
    <row r="314" spans="1:46" ht="33.75" customHeight="1">
      <c r="A314" s="846"/>
      <c r="B314" s="742"/>
      <c r="C314" s="742"/>
      <c r="D314" s="489">
        <v>2015</v>
      </c>
      <c r="E314" s="578">
        <f t="shared" si="157"/>
        <v>0.969</v>
      </c>
      <c r="F314" s="578">
        <v>0</v>
      </c>
      <c r="G314" s="576">
        <v>0.63</v>
      </c>
      <c r="H314" s="622"/>
      <c r="I314" s="577">
        <v>0.33</v>
      </c>
      <c r="J314" s="577"/>
      <c r="K314" s="576">
        <v>0.009</v>
      </c>
      <c r="L314" s="576"/>
      <c r="M314" s="569">
        <v>0</v>
      </c>
      <c r="N314" s="586"/>
      <c r="O314" s="569">
        <v>0</v>
      </c>
      <c r="P314" s="569"/>
      <c r="Q314" s="569">
        <v>0</v>
      </c>
      <c r="R314" s="569"/>
      <c r="S314" s="762"/>
      <c r="T314" s="762"/>
      <c r="U314" s="493">
        <f>AE314</f>
        <v>12</v>
      </c>
      <c r="V314" s="493"/>
      <c r="W314" s="577">
        <f>SUM(Y314:AC314)</f>
        <v>0.7571895877319035</v>
      </c>
      <c r="X314" s="577"/>
      <c r="Y314" s="577">
        <f>AT314</f>
        <v>0.10465199999999998</v>
      </c>
      <c r="Z314" s="577"/>
      <c r="AA314" s="577">
        <f>AR314</f>
        <v>0.3537406263094649</v>
      </c>
      <c r="AB314" s="577"/>
      <c r="AC314" s="577">
        <f>AQ314</f>
        <v>0.2987969614224386</v>
      </c>
      <c r="AD314" s="700"/>
      <c r="AE314" s="512">
        <f t="shared" si="139"/>
        <v>12</v>
      </c>
      <c r="AF314" s="520">
        <v>0</v>
      </c>
      <c r="AG314" s="512">
        <v>12</v>
      </c>
      <c r="AH314" s="512">
        <v>36012</v>
      </c>
      <c r="AJ314" s="513">
        <v>106.23302983559877</v>
      </c>
      <c r="AK314" s="514">
        <v>105.1948604625895</v>
      </c>
      <c r="AL314" s="513">
        <v>104.86113485125321</v>
      </c>
      <c r="AM314" s="512">
        <v>12</v>
      </c>
      <c r="AN314" s="512">
        <v>1000000</v>
      </c>
      <c r="AO314" s="512">
        <v>0.12</v>
      </c>
      <c r="AP314" s="523">
        <f>AE314*AH314*AL314%*AM314/AN314*AO314</f>
        <v>0.6525375877319035</v>
      </c>
      <c r="AQ314" s="523">
        <f t="shared" si="145"/>
        <v>0.2987969614224386</v>
      </c>
      <c r="AR314" s="523">
        <f t="shared" si="146"/>
        <v>0.3537406263094649</v>
      </c>
      <c r="AS314" s="512">
        <v>0.18</v>
      </c>
      <c r="AT314" s="523">
        <f t="shared" si="144"/>
        <v>0.10465199999999998</v>
      </c>
    </row>
    <row r="315" spans="1:46" ht="30" customHeight="1">
      <c r="A315" s="742">
        <v>3</v>
      </c>
      <c r="B315" s="742" t="s">
        <v>276</v>
      </c>
      <c r="C315" s="742" t="s">
        <v>336</v>
      </c>
      <c r="D315" s="568" t="s">
        <v>273</v>
      </c>
      <c r="E315" s="578">
        <f t="shared" si="157"/>
        <v>0.30300000000000005</v>
      </c>
      <c r="F315" s="578"/>
      <c r="G315" s="575">
        <f aca="true" t="shared" si="160" ref="G315:Q315">SUM(G316:G318)</f>
        <v>0.2</v>
      </c>
      <c r="H315" s="586"/>
      <c r="I315" s="578">
        <f t="shared" si="160"/>
        <v>0.1</v>
      </c>
      <c r="J315" s="578"/>
      <c r="K315" s="580">
        <f t="shared" si="160"/>
        <v>0.003</v>
      </c>
      <c r="L315" s="580"/>
      <c r="M315" s="569">
        <f t="shared" si="160"/>
        <v>0</v>
      </c>
      <c r="N315" s="586"/>
      <c r="O315" s="569">
        <f t="shared" si="160"/>
        <v>0</v>
      </c>
      <c r="P315" s="569"/>
      <c r="Q315" s="569">
        <f t="shared" si="160"/>
        <v>0</v>
      </c>
      <c r="R315" s="569"/>
      <c r="S315" s="762" t="s">
        <v>585</v>
      </c>
      <c r="T315" s="762" t="s">
        <v>682</v>
      </c>
      <c r="U315" s="493">
        <f>SUM(U316:U318)</f>
        <v>10</v>
      </c>
      <c r="V315" s="493"/>
      <c r="W315" s="577">
        <f>SUM(W316:W318)</f>
        <v>0.5765053231099198</v>
      </c>
      <c r="X315" s="577"/>
      <c r="Y315" s="577">
        <f>SUM(Y316:Y318)</f>
        <v>0.032724</v>
      </c>
      <c r="Z315" s="577"/>
      <c r="AA315" s="577">
        <f>SUM(AA316:AA318)</f>
        <v>0.2947838552578875</v>
      </c>
      <c r="AB315" s="577"/>
      <c r="AC315" s="577">
        <f>SUM(AC316:AC318)</f>
        <v>0.2489974678520322</v>
      </c>
      <c r="AD315" s="700"/>
      <c r="AF315" s="520"/>
      <c r="AH315" s="512">
        <v>36012</v>
      </c>
      <c r="AJ315" s="513">
        <v>106.23302983559877</v>
      </c>
      <c r="AK315" s="514">
        <v>105.1948604625895</v>
      </c>
      <c r="AL315" s="513">
        <v>104.86113485125321</v>
      </c>
      <c r="AM315" s="512">
        <v>12</v>
      </c>
      <c r="AN315" s="512">
        <v>1000000</v>
      </c>
      <c r="AO315" s="512">
        <v>0.12</v>
      </c>
      <c r="AP315" s="523">
        <f>AE315*AH315*AJ315%*AM315/AN315*AO315</f>
        <v>0</v>
      </c>
      <c r="AQ315" s="523">
        <f t="shared" si="145"/>
        <v>0</v>
      </c>
      <c r="AR315" s="523">
        <f t="shared" si="146"/>
        <v>0</v>
      </c>
      <c r="AS315" s="512">
        <v>0.18</v>
      </c>
      <c r="AT315" s="523">
        <f t="shared" si="144"/>
        <v>0.032724</v>
      </c>
    </row>
    <row r="316" spans="1:46" ht="30" customHeight="1">
      <c r="A316" s="742"/>
      <c r="B316" s="742"/>
      <c r="C316" s="742"/>
      <c r="D316" s="568">
        <v>2013</v>
      </c>
      <c r="E316" s="578">
        <f t="shared" si="157"/>
        <v>0</v>
      </c>
      <c r="F316" s="578"/>
      <c r="G316" s="569">
        <v>0</v>
      </c>
      <c r="H316" s="586"/>
      <c r="I316" s="578">
        <v>0</v>
      </c>
      <c r="J316" s="578"/>
      <c r="K316" s="569">
        <v>0</v>
      </c>
      <c r="L316" s="569"/>
      <c r="M316" s="569">
        <v>0</v>
      </c>
      <c r="N316" s="586"/>
      <c r="O316" s="569">
        <v>0</v>
      </c>
      <c r="P316" s="569"/>
      <c r="Q316" s="569">
        <v>0</v>
      </c>
      <c r="R316" s="569"/>
      <c r="S316" s="762"/>
      <c r="T316" s="762"/>
      <c r="U316" s="493">
        <f>AE316</f>
        <v>0</v>
      </c>
      <c r="V316" s="493"/>
      <c r="W316" s="577">
        <f>SUM(Y316:AC316)</f>
        <v>0</v>
      </c>
      <c r="X316" s="577"/>
      <c r="Y316" s="577">
        <f>AT316</f>
        <v>0</v>
      </c>
      <c r="Z316" s="577"/>
      <c r="AA316" s="577">
        <f>AR316</f>
        <v>0</v>
      </c>
      <c r="AB316" s="577"/>
      <c r="AC316" s="577">
        <f>AQ316</f>
        <v>0</v>
      </c>
      <c r="AD316" s="700"/>
      <c r="AE316" s="512">
        <f t="shared" si="139"/>
        <v>0</v>
      </c>
      <c r="AF316" s="520">
        <v>0</v>
      </c>
      <c r="AH316" s="512">
        <v>36012</v>
      </c>
      <c r="AJ316" s="513">
        <v>106.23302983559877</v>
      </c>
      <c r="AK316" s="514">
        <v>105.1948604625895</v>
      </c>
      <c r="AL316" s="513">
        <v>104.86113485125321</v>
      </c>
      <c r="AM316" s="512">
        <v>12</v>
      </c>
      <c r="AN316" s="512">
        <v>1000000</v>
      </c>
      <c r="AO316" s="512">
        <v>0.12</v>
      </c>
      <c r="AP316" s="523">
        <f>AE316*AH316*AJ316%*AM316/AN316*AO316</f>
        <v>0</v>
      </c>
      <c r="AQ316" s="523">
        <f t="shared" si="145"/>
        <v>0</v>
      </c>
      <c r="AR316" s="523">
        <f t="shared" si="146"/>
        <v>0</v>
      </c>
      <c r="AS316" s="512">
        <v>0.18</v>
      </c>
      <c r="AT316" s="523">
        <f t="shared" si="144"/>
        <v>0</v>
      </c>
    </row>
    <row r="317" spans="1:46" ht="30" customHeight="1">
      <c r="A317" s="742"/>
      <c r="B317" s="742"/>
      <c r="C317" s="742"/>
      <c r="D317" s="568">
        <v>2014</v>
      </c>
      <c r="E317" s="578">
        <f t="shared" si="157"/>
        <v>0</v>
      </c>
      <c r="F317" s="578"/>
      <c r="G317" s="569">
        <v>0</v>
      </c>
      <c r="H317" s="586"/>
      <c r="I317" s="578">
        <v>0</v>
      </c>
      <c r="J317" s="578"/>
      <c r="K317" s="569">
        <v>0</v>
      </c>
      <c r="L317" s="569"/>
      <c r="M317" s="569">
        <v>0</v>
      </c>
      <c r="N317" s="586"/>
      <c r="O317" s="569">
        <v>0</v>
      </c>
      <c r="P317" s="569"/>
      <c r="Q317" s="569">
        <v>0</v>
      </c>
      <c r="R317" s="569"/>
      <c r="S317" s="762"/>
      <c r="T317" s="762"/>
      <c r="U317" s="493">
        <f>AE317</f>
        <v>0</v>
      </c>
      <c r="V317" s="493"/>
      <c r="W317" s="577">
        <f>SUM(Y317:AC317)</f>
        <v>0</v>
      </c>
      <c r="X317" s="577"/>
      <c r="Y317" s="577">
        <f>AT317</f>
        <v>0</v>
      </c>
      <c r="Z317" s="577"/>
      <c r="AA317" s="577">
        <f>AR317</f>
        <v>0</v>
      </c>
      <c r="AB317" s="577"/>
      <c r="AC317" s="577">
        <f>AQ317</f>
        <v>0</v>
      </c>
      <c r="AD317" s="700"/>
      <c r="AE317" s="512">
        <f t="shared" si="139"/>
        <v>0</v>
      </c>
      <c r="AF317" s="520">
        <v>0</v>
      </c>
      <c r="AH317" s="512">
        <v>36012</v>
      </c>
      <c r="AJ317" s="513">
        <v>106.23302983559877</v>
      </c>
      <c r="AK317" s="514">
        <v>105.1948604625895</v>
      </c>
      <c r="AL317" s="513">
        <v>104.86113485125321</v>
      </c>
      <c r="AM317" s="512">
        <v>12</v>
      </c>
      <c r="AN317" s="512">
        <v>1000000</v>
      </c>
      <c r="AO317" s="512">
        <v>0.12</v>
      </c>
      <c r="AP317" s="523">
        <f>AE317*AH317*AK317%*AM317/AN317*AO317</f>
        <v>0</v>
      </c>
      <c r="AQ317" s="523">
        <f t="shared" si="145"/>
        <v>0</v>
      </c>
      <c r="AR317" s="523">
        <f t="shared" si="146"/>
        <v>0</v>
      </c>
      <c r="AS317" s="512">
        <v>0.18</v>
      </c>
      <c r="AT317" s="523">
        <f t="shared" si="144"/>
        <v>0</v>
      </c>
    </row>
    <row r="318" spans="1:46" ht="30" customHeight="1">
      <c r="A318" s="742"/>
      <c r="B318" s="742"/>
      <c r="C318" s="742"/>
      <c r="D318" s="489">
        <v>2015</v>
      </c>
      <c r="E318" s="578">
        <f t="shared" si="157"/>
        <v>0.30300000000000005</v>
      </c>
      <c r="F318" s="578">
        <v>0</v>
      </c>
      <c r="G318" s="576">
        <v>0.2</v>
      </c>
      <c r="H318" s="622"/>
      <c r="I318" s="577">
        <v>0.1</v>
      </c>
      <c r="J318" s="577"/>
      <c r="K318" s="574">
        <v>0.003</v>
      </c>
      <c r="L318" s="574"/>
      <c r="M318" s="569">
        <v>0</v>
      </c>
      <c r="N318" s="586"/>
      <c r="O318" s="569">
        <v>0</v>
      </c>
      <c r="P318" s="569"/>
      <c r="Q318" s="569">
        <v>0</v>
      </c>
      <c r="R318" s="569"/>
      <c r="S318" s="762"/>
      <c r="T318" s="762"/>
      <c r="U318" s="493">
        <f>AE318</f>
        <v>10</v>
      </c>
      <c r="V318" s="493"/>
      <c r="W318" s="577">
        <f>SUM(Y318:AC318)</f>
        <v>0.5765053231099198</v>
      </c>
      <c r="X318" s="577"/>
      <c r="Y318" s="577">
        <f>AT318</f>
        <v>0.032724</v>
      </c>
      <c r="Z318" s="577"/>
      <c r="AA318" s="577">
        <f>AR318</f>
        <v>0.2947838552578875</v>
      </c>
      <c r="AB318" s="577"/>
      <c r="AC318" s="577">
        <f>AQ318</f>
        <v>0.2489974678520322</v>
      </c>
      <c r="AD318" s="700"/>
      <c r="AE318" s="512">
        <f t="shared" si="139"/>
        <v>10</v>
      </c>
      <c r="AF318" s="520">
        <v>0</v>
      </c>
      <c r="AG318" s="512">
        <v>10</v>
      </c>
      <c r="AH318" s="512">
        <v>36012</v>
      </c>
      <c r="AJ318" s="513">
        <v>106.23302983559877</v>
      </c>
      <c r="AK318" s="514">
        <v>105.1948604625895</v>
      </c>
      <c r="AL318" s="513">
        <v>104.86113485125321</v>
      </c>
      <c r="AM318" s="512">
        <v>12</v>
      </c>
      <c r="AN318" s="512">
        <v>1000000</v>
      </c>
      <c r="AO318" s="512">
        <v>0.12</v>
      </c>
      <c r="AP318" s="523">
        <f>AE318*AH318*AL318%*AM318/AN318*AO318</f>
        <v>0.5437813231099197</v>
      </c>
      <c r="AQ318" s="523">
        <f t="shared" si="145"/>
        <v>0.2489974678520322</v>
      </c>
      <c r="AR318" s="523">
        <f t="shared" si="146"/>
        <v>0.2947838552578875</v>
      </c>
      <c r="AS318" s="512">
        <v>0.18</v>
      </c>
      <c r="AT318" s="523">
        <f t="shared" si="144"/>
        <v>0.032724</v>
      </c>
    </row>
    <row r="319" spans="1:46" ht="30" customHeight="1">
      <c r="A319" s="742">
        <v>4</v>
      </c>
      <c r="B319" s="742" t="s">
        <v>150</v>
      </c>
      <c r="C319" s="742" t="s">
        <v>336</v>
      </c>
      <c r="D319" s="568" t="s">
        <v>342</v>
      </c>
      <c r="E319" s="578">
        <f t="shared" si="157"/>
        <v>51.925</v>
      </c>
      <c r="F319" s="578"/>
      <c r="G319" s="569">
        <f aca="true" t="shared" si="161" ref="G319:Q319">SUM(G320:G322)</f>
        <v>33.9</v>
      </c>
      <c r="H319" s="586"/>
      <c r="I319" s="578">
        <f t="shared" si="161"/>
        <v>17.5</v>
      </c>
      <c r="J319" s="578"/>
      <c r="K319" s="569">
        <f t="shared" si="161"/>
        <v>0.525</v>
      </c>
      <c r="L319" s="569"/>
      <c r="M319" s="569">
        <f t="shared" si="161"/>
        <v>0</v>
      </c>
      <c r="N319" s="586"/>
      <c r="O319" s="569">
        <f t="shared" si="161"/>
        <v>0</v>
      </c>
      <c r="P319" s="569"/>
      <c r="Q319" s="569">
        <f t="shared" si="161"/>
        <v>0</v>
      </c>
      <c r="R319" s="569"/>
      <c r="S319" s="762" t="s">
        <v>585</v>
      </c>
      <c r="T319" s="742" t="s">
        <v>686</v>
      </c>
      <c r="U319" s="493">
        <f>SUM(U320:U322)</f>
        <v>10</v>
      </c>
      <c r="V319" s="493"/>
      <c r="W319" s="577">
        <f>SUM(W320:W322)</f>
        <v>11.02178132310992</v>
      </c>
      <c r="X319" s="577"/>
      <c r="Y319" s="577">
        <f>SUM(Y320:Y322)</f>
        <v>5.608</v>
      </c>
      <c r="Z319" s="577"/>
      <c r="AA319" s="577">
        <f>SUM(AA320:AA322)</f>
        <v>0.2947838552578875</v>
      </c>
      <c r="AB319" s="577"/>
      <c r="AC319" s="577">
        <f>SUM(AC320:AC322)</f>
        <v>0.2489974678520322</v>
      </c>
      <c r="AD319" s="700"/>
      <c r="AF319" s="520"/>
      <c r="AH319" s="512">
        <v>36012</v>
      </c>
      <c r="AJ319" s="513">
        <v>106.23302983559877</v>
      </c>
      <c r="AK319" s="514">
        <v>105.1948604625895</v>
      </c>
      <c r="AL319" s="513">
        <v>104.86113485125321</v>
      </c>
      <c r="AM319" s="512">
        <v>12</v>
      </c>
      <c r="AN319" s="512">
        <v>1000000</v>
      </c>
      <c r="AO319" s="512">
        <v>0.12</v>
      </c>
      <c r="AP319" s="523">
        <f>AE319*AH319*AJ319%*AM319/AN319*AO319</f>
        <v>0</v>
      </c>
      <c r="AQ319" s="523">
        <f t="shared" si="145"/>
        <v>0</v>
      </c>
      <c r="AR319" s="523">
        <f t="shared" si="146"/>
        <v>0</v>
      </c>
      <c r="AS319" s="512">
        <v>0.18</v>
      </c>
      <c r="AT319" s="523">
        <f t="shared" si="144"/>
        <v>5.607899999999999</v>
      </c>
    </row>
    <row r="320" spans="1:46" ht="30" customHeight="1">
      <c r="A320" s="742"/>
      <c r="B320" s="742"/>
      <c r="C320" s="742"/>
      <c r="D320" s="568">
        <v>2013</v>
      </c>
      <c r="E320" s="578">
        <f t="shared" si="157"/>
        <v>0</v>
      </c>
      <c r="F320" s="578"/>
      <c r="G320" s="569">
        <v>0</v>
      </c>
      <c r="H320" s="586"/>
      <c r="I320" s="578">
        <v>0</v>
      </c>
      <c r="J320" s="578"/>
      <c r="K320" s="569">
        <v>0</v>
      </c>
      <c r="L320" s="569"/>
      <c r="M320" s="569">
        <v>0</v>
      </c>
      <c r="N320" s="586"/>
      <c r="O320" s="569">
        <v>0</v>
      </c>
      <c r="P320" s="569"/>
      <c r="Q320" s="569">
        <v>0</v>
      </c>
      <c r="R320" s="569"/>
      <c r="S320" s="762"/>
      <c r="T320" s="742"/>
      <c r="U320" s="493">
        <f>AE320</f>
        <v>0</v>
      </c>
      <c r="V320" s="493"/>
      <c r="W320" s="577">
        <f>SUM(Y320:AC320)</f>
        <v>0</v>
      </c>
      <c r="X320" s="577"/>
      <c r="Y320" s="577">
        <f>AT320</f>
        <v>0</v>
      </c>
      <c r="Z320" s="577"/>
      <c r="AA320" s="577">
        <f>AR320</f>
        <v>0</v>
      </c>
      <c r="AB320" s="577"/>
      <c r="AC320" s="577">
        <f>AQ320</f>
        <v>0</v>
      </c>
      <c r="AD320" s="700"/>
      <c r="AE320" s="512">
        <f t="shared" si="139"/>
        <v>0</v>
      </c>
      <c r="AF320" s="520">
        <v>0</v>
      </c>
      <c r="AH320" s="512">
        <v>36012</v>
      </c>
      <c r="AJ320" s="513">
        <v>106.23302983559877</v>
      </c>
      <c r="AK320" s="514">
        <v>105.1948604625895</v>
      </c>
      <c r="AL320" s="513">
        <v>104.86113485125321</v>
      </c>
      <c r="AM320" s="512">
        <v>12</v>
      </c>
      <c r="AN320" s="512">
        <v>1000000</v>
      </c>
      <c r="AO320" s="512">
        <v>0.12</v>
      </c>
      <c r="AP320" s="523">
        <f>AE320*AH320*AJ320%*AM320/AN320*AO320</f>
        <v>0</v>
      </c>
      <c r="AQ320" s="523">
        <f t="shared" si="145"/>
        <v>0</v>
      </c>
      <c r="AR320" s="523">
        <f t="shared" si="146"/>
        <v>0</v>
      </c>
      <c r="AS320" s="512">
        <v>0.18</v>
      </c>
      <c r="AT320" s="523">
        <f t="shared" si="144"/>
        <v>0</v>
      </c>
    </row>
    <row r="321" spans="1:46" ht="30" customHeight="1">
      <c r="A321" s="742"/>
      <c r="B321" s="742"/>
      <c r="C321" s="742"/>
      <c r="D321" s="568">
        <v>2014</v>
      </c>
      <c r="E321" s="578">
        <v>0</v>
      </c>
      <c r="F321" s="578">
        <v>27.07</v>
      </c>
      <c r="G321" s="569">
        <v>0</v>
      </c>
      <c r="H321" s="586">
        <v>16.67</v>
      </c>
      <c r="I321" s="578">
        <v>0</v>
      </c>
      <c r="J321" s="578">
        <v>8.43</v>
      </c>
      <c r="K321" s="569">
        <v>0</v>
      </c>
      <c r="L321" s="569">
        <v>1.97</v>
      </c>
      <c r="M321" s="569">
        <v>0</v>
      </c>
      <c r="N321" s="586"/>
      <c r="O321" s="569">
        <v>0</v>
      </c>
      <c r="P321" s="569"/>
      <c r="Q321" s="569">
        <v>0</v>
      </c>
      <c r="R321" s="569"/>
      <c r="S321" s="762"/>
      <c r="T321" s="742"/>
      <c r="U321" s="493">
        <f>AE321</f>
        <v>0</v>
      </c>
      <c r="V321" s="493"/>
      <c r="W321" s="577">
        <f>SUM(Y321:AC321)</f>
        <v>4.87</v>
      </c>
      <c r="X321" s="577">
        <v>4.87</v>
      </c>
      <c r="Y321" s="577">
        <f>AT321</f>
        <v>0</v>
      </c>
      <c r="Z321" s="577">
        <v>4.87</v>
      </c>
      <c r="AA321" s="577">
        <f>AR321</f>
        <v>0</v>
      </c>
      <c r="AB321" s="577"/>
      <c r="AC321" s="577">
        <f>AQ321</f>
        <v>0</v>
      </c>
      <c r="AD321" s="700"/>
      <c r="AE321" s="512">
        <f t="shared" si="139"/>
        <v>0</v>
      </c>
      <c r="AF321" s="520">
        <v>0</v>
      </c>
      <c r="AH321" s="512">
        <v>36012</v>
      </c>
      <c r="AJ321" s="513">
        <v>106.23302983559877</v>
      </c>
      <c r="AK321" s="514">
        <v>105.1948604625895</v>
      </c>
      <c r="AL321" s="513">
        <v>104.86113485125321</v>
      </c>
      <c r="AM321" s="512">
        <v>12</v>
      </c>
      <c r="AN321" s="512">
        <v>1000000</v>
      </c>
      <c r="AO321" s="512">
        <v>0.12</v>
      </c>
      <c r="AP321" s="523">
        <f>AE321*AH321*AK321%*AM321/AN321*AO321</f>
        <v>0</v>
      </c>
      <c r="AQ321" s="523">
        <f t="shared" si="145"/>
        <v>0</v>
      </c>
      <c r="AR321" s="523">
        <f t="shared" si="146"/>
        <v>0</v>
      </c>
      <c r="AS321" s="512">
        <v>0.18</v>
      </c>
      <c r="AT321" s="523">
        <f t="shared" si="144"/>
        <v>0</v>
      </c>
    </row>
    <row r="322" spans="1:46" s="644" customFormat="1" ht="54" customHeight="1">
      <c r="A322" s="742"/>
      <c r="B322" s="742"/>
      <c r="C322" s="742"/>
      <c r="D322" s="633">
        <v>2015</v>
      </c>
      <c r="E322" s="650">
        <v>51.9</v>
      </c>
      <c r="F322" s="650">
        <v>0.8</v>
      </c>
      <c r="G322" s="635">
        <v>33.9</v>
      </c>
      <c r="H322" s="661">
        <v>0.1</v>
      </c>
      <c r="I322" s="646">
        <v>17.5</v>
      </c>
      <c r="J322" s="646">
        <v>0.7</v>
      </c>
      <c r="K322" s="635">
        <v>0.525</v>
      </c>
      <c r="L322" s="635">
        <v>0</v>
      </c>
      <c r="M322" s="634">
        <v>0</v>
      </c>
      <c r="N322" s="667"/>
      <c r="O322" s="634">
        <v>0</v>
      </c>
      <c r="P322" s="634"/>
      <c r="Q322" s="634">
        <v>0</v>
      </c>
      <c r="R322" s="634"/>
      <c r="S322" s="762"/>
      <c r="T322" s="742"/>
      <c r="U322" s="637">
        <f>AE322</f>
        <v>10</v>
      </c>
      <c r="V322" s="637"/>
      <c r="W322" s="646">
        <f>Y322+AA322+AC322</f>
        <v>6.151781323109919</v>
      </c>
      <c r="X322" s="646">
        <v>0.144</v>
      </c>
      <c r="Y322" s="646">
        <v>5.608</v>
      </c>
      <c r="Z322" s="646"/>
      <c r="AA322" s="646">
        <f>AR322</f>
        <v>0.2947838552578875</v>
      </c>
      <c r="AB322" s="646"/>
      <c r="AC322" s="646">
        <f>AQ322</f>
        <v>0.2489974678520322</v>
      </c>
      <c r="AD322" s="701"/>
      <c r="AE322" s="638">
        <f t="shared" si="139"/>
        <v>10</v>
      </c>
      <c r="AF322" s="639">
        <v>0</v>
      </c>
      <c r="AG322" s="638">
        <v>10</v>
      </c>
      <c r="AH322" s="638">
        <v>36012</v>
      </c>
      <c r="AI322" s="638"/>
      <c r="AJ322" s="641">
        <v>106.23302983559877</v>
      </c>
      <c r="AK322" s="642">
        <v>105.1948604625895</v>
      </c>
      <c r="AL322" s="641">
        <v>104.86113485125321</v>
      </c>
      <c r="AM322" s="638">
        <v>12</v>
      </c>
      <c r="AN322" s="638">
        <v>1000000</v>
      </c>
      <c r="AO322" s="638">
        <v>0.12</v>
      </c>
      <c r="AP322" s="643">
        <f>AE322*AH322*AL322%*AM322/AN322*AO322</f>
        <v>0.5437813231099197</v>
      </c>
      <c r="AQ322" s="643">
        <f t="shared" si="145"/>
        <v>0.2489974678520322</v>
      </c>
      <c r="AR322" s="643">
        <f t="shared" si="146"/>
        <v>0.2947838552578875</v>
      </c>
      <c r="AS322" s="638">
        <v>0.18</v>
      </c>
      <c r="AT322" s="643">
        <f t="shared" si="144"/>
        <v>5.605199999999999</v>
      </c>
    </row>
    <row r="323" spans="1:46" ht="30" customHeight="1">
      <c r="A323" s="742">
        <v>5</v>
      </c>
      <c r="B323" s="742" t="s">
        <v>589</v>
      </c>
      <c r="C323" s="742" t="s">
        <v>336</v>
      </c>
      <c r="D323" s="568" t="s">
        <v>273</v>
      </c>
      <c r="E323" s="578">
        <f t="shared" si="157"/>
        <v>13.638</v>
      </c>
      <c r="F323" s="578"/>
      <c r="G323" s="569">
        <f aca="true" t="shared" si="162" ref="G323:Q323">SUM(G324:G326)</f>
        <v>8.9</v>
      </c>
      <c r="H323" s="586"/>
      <c r="I323" s="578">
        <f t="shared" si="162"/>
        <v>4.6</v>
      </c>
      <c r="J323" s="578"/>
      <c r="K323" s="569">
        <f t="shared" si="162"/>
        <v>0.138</v>
      </c>
      <c r="L323" s="569"/>
      <c r="M323" s="569">
        <f t="shared" si="162"/>
        <v>0</v>
      </c>
      <c r="N323" s="586"/>
      <c r="O323" s="569">
        <f t="shared" si="162"/>
        <v>0</v>
      </c>
      <c r="P323" s="569"/>
      <c r="Q323" s="569">
        <f t="shared" si="162"/>
        <v>0</v>
      </c>
      <c r="R323" s="569"/>
      <c r="S323" s="762" t="s">
        <v>585</v>
      </c>
      <c r="T323" s="742" t="s">
        <v>687</v>
      </c>
      <c r="U323" s="493">
        <f>SUM(U324:U326)</f>
        <v>10</v>
      </c>
      <c r="V323" s="493"/>
      <c r="W323" s="577">
        <f>SUM(W324:W326)</f>
        <v>3.7667813231099196</v>
      </c>
      <c r="X323" s="577"/>
      <c r="Y323" s="577">
        <f>SUM(Y324:Y326)</f>
        <v>1.473</v>
      </c>
      <c r="Z323" s="577"/>
      <c r="AA323" s="577">
        <f>SUM(AA324:AA326)</f>
        <v>0.2947838552578875</v>
      </c>
      <c r="AB323" s="577"/>
      <c r="AC323" s="577">
        <f>SUM(AC324:AC326)</f>
        <v>0.2489974678520322</v>
      </c>
      <c r="AD323" s="700"/>
      <c r="AF323" s="520"/>
      <c r="AH323" s="512">
        <v>36012</v>
      </c>
      <c r="AJ323" s="513">
        <v>106.23302983559877</v>
      </c>
      <c r="AK323" s="514">
        <v>105.1948604625895</v>
      </c>
      <c r="AL323" s="513">
        <v>104.86113485125321</v>
      </c>
      <c r="AM323" s="512">
        <v>12</v>
      </c>
      <c r="AN323" s="512">
        <v>1000000</v>
      </c>
      <c r="AO323" s="512">
        <v>0.12</v>
      </c>
      <c r="AP323" s="523">
        <f>AE323*AH323*AJ323%*AM323/AN323*AO323</f>
        <v>0</v>
      </c>
      <c r="AQ323" s="523">
        <f t="shared" si="145"/>
        <v>0</v>
      </c>
      <c r="AR323" s="523">
        <f t="shared" si="146"/>
        <v>0</v>
      </c>
      <c r="AS323" s="512">
        <v>0.18</v>
      </c>
      <c r="AT323" s="523">
        <f t="shared" si="144"/>
        <v>1.472904</v>
      </c>
    </row>
    <row r="324" spans="1:46" ht="30" customHeight="1">
      <c r="A324" s="742"/>
      <c r="B324" s="742"/>
      <c r="C324" s="742"/>
      <c r="D324" s="568">
        <v>2013</v>
      </c>
      <c r="E324" s="578">
        <f t="shared" si="157"/>
        <v>0</v>
      </c>
      <c r="F324" s="578"/>
      <c r="G324" s="569">
        <v>0</v>
      </c>
      <c r="H324" s="586"/>
      <c r="I324" s="578">
        <v>0</v>
      </c>
      <c r="J324" s="578"/>
      <c r="K324" s="569">
        <v>0</v>
      </c>
      <c r="L324" s="569"/>
      <c r="M324" s="569">
        <v>0</v>
      </c>
      <c r="N324" s="586"/>
      <c r="O324" s="569">
        <v>0</v>
      </c>
      <c r="P324" s="569"/>
      <c r="Q324" s="569">
        <v>0</v>
      </c>
      <c r="R324" s="569"/>
      <c r="S324" s="762"/>
      <c r="T324" s="742"/>
      <c r="U324" s="493">
        <f>AE324</f>
        <v>0</v>
      </c>
      <c r="V324" s="493"/>
      <c r="W324" s="577">
        <f>SUM(Y324:AC324)</f>
        <v>0</v>
      </c>
      <c r="X324" s="577"/>
      <c r="Y324" s="577">
        <f>AT324</f>
        <v>0</v>
      </c>
      <c r="Z324" s="577"/>
      <c r="AA324" s="577">
        <f>AR324</f>
        <v>0</v>
      </c>
      <c r="AB324" s="577"/>
      <c r="AC324" s="577">
        <f>AQ324</f>
        <v>0</v>
      </c>
      <c r="AD324" s="700"/>
      <c r="AE324" s="512">
        <f t="shared" si="139"/>
        <v>0</v>
      </c>
      <c r="AF324" s="520">
        <v>0</v>
      </c>
      <c r="AH324" s="512">
        <v>36012</v>
      </c>
      <c r="AJ324" s="513">
        <v>106.23302983559877</v>
      </c>
      <c r="AK324" s="514">
        <v>105.1948604625895</v>
      </c>
      <c r="AL324" s="513">
        <v>104.86113485125321</v>
      </c>
      <c r="AM324" s="512">
        <v>12</v>
      </c>
      <c r="AN324" s="512">
        <v>1000000</v>
      </c>
      <c r="AO324" s="512">
        <v>0.12</v>
      </c>
      <c r="AP324" s="523">
        <f>AE324*AH324*AJ324%*AM324/AN324*AO324</f>
        <v>0</v>
      </c>
      <c r="AQ324" s="523">
        <f t="shared" si="145"/>
        <v>0</v>
      </c>
      <c r="AR324" s="523">
        <f t="shared" si="146"/>
        <v>0</v>
      </c>
      <c r="AS324" s="512">
        <v>0.18</v>
      </c>
      <c r="AT324" s="523">
        <f t="shared" si="144"/>
        <v>0</v>
      </c>
    </row>
    <row r="325" spans="1:46" ht="30" customHeight="1">
      <c r="A325" s="742"/>
      <c r="B325" s="742"/>
      <c r="C325" s="742"/>
      <c r="D325" s="568">
        <v>2014</v>
      </c>
      <c r="E325" s="578">
        <v>0</v>
      </c>
      <c r="F325" s="578">
        <v>9.74</v>
      </c>
      <c r="G325" s="569">
        <v>0</v>
      </c>
      <c r="H325" s="586">
        <v>1.87</v>
      </c>
      <c r="I325" s="578">
        <v>0</v>
      </c>
      <c r="J325" s="578">
        <v>6.36</v>
      </c>
      <c r="K325" s="569">
        <v>0</v>
      </c>
      <c r="L325" s="569">
        <v>1.5</v>
      </c>
      <c r="M325" s="569">
        <v>0</v>
      </c>
      <c r="N325" s="586"/>
      <c r="O325" s="569">
        <v>0</v>
      </c>
      <c r="P325" s="569"/>
      <c r="Q325" s="569">
        <v>0</v>
      </c>
      <c r="R325" s="569"/>
      <c r="S325" s="762"/>
      <c r="T325" s="742"/>
      <c r="U325" s="493">
        <f>AE325</f>
        <v>0</v>
      </c>
      <c r="V325" s="493"/>
      <c r="W325" s="577">
        <f>SUM(Y325:AC325)</f>
        <v>1.75</v>
      </c>
      <c r="X325" s="577">
        <v>1.75</v>
      </c>
      <c r="Y325" s="577">
        <f>AT325</f>
        <v>0</v>
      </c>
      <c r="Z325" s="577">
        <v>1.75</v>
      </c>
      <c r="AA325" s="577">
        <f>AR325</f>
        <v>0</v>
      </c>
      <c r="AB325" s="577"/>
      <c r="AC325" s="577">
        <f>AQ325</f>
        <v>0</v>
      </c>
      <c r="AD325" s="700"/>
      <c r="AE325" s="512">
        <f t="shared" si="139"/>
        <v>0</v>
      </c>
      <c r="AF325" s="520">
        <v>0</v>
      </c>
      <c r="AH325" s="512">
        <v>36012</v>
      </c>
      <c r="AJ325" s="513">
        <v>106.23302983559877</v>
      </c>
      <c r="AK325" s="514">
        <v>105.1948604625895</v>
      </c>
      <c r="AL325" s="513">
        <v>104.86113485125321</v>
      </c>
      <c r="AM325" s="512">
        <v>12</v>
      </c>
      <c r="AN325" s="512">
        <v>1000000</v>
      </c>
      <c r="AO325" s="512">
        <v>0.12</v>
      </c>
      <c r="AP325" s="523">
        <f>AE325*AH325*AK325%*AM325/AN325*AO325</f>
        <v>0</v>
      </c>
      <c r="AQ325" s="523">
        <f t="shared" si="145"/>
        <v>0</v>
      </c>
      <c r="AR325" s="523">
        <f t="shared" si="146"/>
        <v>0</v>
      </c>
      <c r="AS325" s="512">
        <v>0.18</v>
      </c>
      <c r="AT325" s="523">
        <f t="shared" si="144"/>
        <v>0</v>
      </c>
    </row>
    <row r="326" spans="1:46" s="644" customFormat="1" ht="41.25" customHeight="1">
      <c r="A326" s="742"/>
      <c r="B326" s="742"/>
      <c r="C326" s="742"/>
      <c r="D326" s="633">
        <v>2015</v>
      </c>
      <c r="E326" s="650">
        <v>13.6</v>
      </c>
      <c r="F326" s="650">
        <v>10.2</v>
      </c>
      <c r="G326" s="635">
        <v>8.9</v>
      </c>
      <c r="H326" s="661">
        <v>9.5</v>
      </c>
      <c r="I326" s="646">
        <v>4.6</v>
      </c>
      <c r="J326" s="646">
        <v>0.7</v>
      </c>
      <c r="K326" s="656">
        <v>0.138</v>
      </c>
      <c r="L326" s="656">
        <v>0</v>
      </c>
      <c r="M326" s="634">
        <v>0</v>
      </c>
      <c r="N326" s="667"/>
      <c r="O326" s="634">
        <v>0</v>
      </c>
      <c r="P326" s="634"/>
      <c r="Q326" s="634">
        <v>0</v>
      </c>
      <c r="R326" s="634"/>
      <c r="S326" s="762"/>
      <c r="T326" s="742"/>
      <c r="U326" s="637">
        <f>AE326</f>
        <v>10</v>
      </c>
      <c r="V326" s="637"/>
      <c r="W326" s="646">
        <f>Y326+AA326+AC326</f>
        <v>2.0167813231099196</v>
      </c>
      <c r="X326" s="646">
        <v>1.836</v>
      </c>
      <c r="Y326" s="646">
        <v>1.473</v>
      </c>
      <c r="Z326" s="646"/>
      <c r="AA326" s="646">
        <f>AR326</f>
        <v>0.2947838552578875</v>
      </c>
      <c r="AB326" s="646"/>
      <c r="AC326" s="646">
        <f>AQ326</f>
        <v>0.2489974678520322</v>
      </c>
      <c r="AD326" s="701"/>
      <c r="AE326" s="638">
        <f t="shared" si="139"/>
        <v>10</v>
      </c>
      <c r="AF326" s="639">
        <v>0</v>
      </c>
      <c r="AG326" s="638">
        <v>10</v>
      </c>
      <c r="AH326" s="638">
        <v>36012</v>
      </c>
      <c r="AI326" s="638"/>
      <c r="AJ326" s="641">
        <v>106.23302983559877</v>
      </c>
      <c r="AK326" s="642">
        <v>105.1948604625895</v>
      </c>
      <c r="AL326" s="641">
        <v>104.86113485125321</v>
      </c>
      <c r="AM326" s="638">
        <v>12</v>
      </c>
      <c r="AN326" s="638">
        <v>1000000</v>
      </c>
      <c r="AO326" s="638">
        <v>0.12</v>
      </c>
      <c r="AP326" s="643">
        <f>AE326*AH326*AL326%*AM326/AN326*AO326</f>
        <v>0.5437813231099197</v>
      </c>
      <c r="AQ326" s="643">
        <f t="shared" si="145"/>
        <v>0.2489974678520322</v>
      </c>
      <c r="AR326" s="643">
        <f t="shared" si="146"/>
        <v>0.2947838552578875</v>
      </c>
      <c r="AS326" s="638">
        <v>0.18</v>
      </c>
      <c r="AT326" s="643">
        <f t="shared" si="144"/>
        <v>1.4687999999999999</v>
      </c>
    </row>
    <row r="327" spans="1:46" ht="54.75" customHeight="1">
      <c r="A327" s="742">
        <v>6</v>
      </c>
      <c r="B327" s="742" t="s">
        <v>662</v>
      </c>
      <c r="C327" s="742" t="s">
        <v>336</v>
      </c>
      <c r="D327" s="568" t="s">
        <v>273</v>
      </c>
      <c r="E327" s="578">
        <f t="shared" si="157"/>
        <v>2307.4</v>
      </c>
      <c r="F327" s="578"/>
      <c r="G327" s="569">
        <f>SUM(G328:G330)</f>
        <v>2307.4</v>
      </c>
      <c r="H327" s="586"/>
      <c r="I327" s="578">
        <f>SUM(I328:I330)</f>
        <v>0</v>
      </c>
      <c r="J327" s="578"/>
      <c r="K327" s="569">
        <f>SUM(K328:K330)</f>
        <v>0</v>
      </c>
      <c r="L327" s="569"/>
      <c r="M327" s="569">
        <v>0</v>
      </c>
      <c r="N327" s="586"/>
      <c r="O327" s="569">
        <f>SUM(O328:O330)</f>
        <v>0</v>
      </c>
      <c r="P327" s="569"/>
      <c r="Q327" s="569">
        <f>SUM(Q328:Q330)</f>
        <v>0</v>
      </c>
      <c r="R327" s="569"/>
      <c r="S327" s="742" t="s">
        <v>586</v>
      </c>
      <c r="T327" s="742"/>
      <c r="U327" s="493">
        <f>SUM(U328:U330)</f>
        <v>500</v>
      </c>
      <c r="V327" s="493"/>
      <c r="W327" s="577">
        <f>SUM(W328:W330)</f>
        <v>276.4315314116716</v>
      </c>
      <c r="X327" s="577"/>
      <c r="Y327" s="577">
        <f>SUM(Y328:Y330)</f>
        <v>249.19919999999996</v>
      </c>
      <c r="Z327" s="577"/>
      <c r="AA327" s="577">
        <f>SUM(AA328:AA330)</f>
        <v>14.76264685826716</v>
      </c>
      <c r="AB327" s="577"/>
      <c r="AC327" s="577">
        <f>SUM(AC328:AC330)</f>
        <v>12.469684553404413</v>
      </c>
      <c r="AD327" s="700"/>
      <c r="AF327" s="520"/>
      <c r="AH327" s="512">
        <v>36012</v>
      </c>
      <c r="AJ327" s="513">
        <v>106.23302983559877</v>
      </c>
      <c r="AK327" s="514">
        <v>105.1948604625895</v>
      </c>
      <c r="AL327" s="513">
        <v>104.86113485125321</v>
      </c>
      <c r="AM327" s="512">
        <v>12</v>
      </c>
      <c r="AN327" s="512">
        <v>1000000</v>
      </c>
      <c r="AO327" s="512">
        <v>0.12</v>
      </c>
      <c r="AP327" s="523">
        <f>AE327*AH327*AJ327%*AM327/AN327*AO327</f>
        <v>0</v>
      </c>
      <c r="AQ327" s="523">
        <f t="shared" si="145"/>
        <v>0</v>
      </c>
      <c r="AR327" s="523">
        <f t="shared" si="146"/>
        <v>0</v>
      </c>
      <c r="AS327" s="512">
        <v>0.18</v>
      </c>
      <c r="AT327" s="523">
        <f t="shared" si="144"/>
        <v>249.1992</v>
      </c>
    </row>
    <row r="328" spans="1:46" ht="55.5" customHeight="1">
      <c r="A328" s="742"/>
      <c r="B328" s="742"/>
      <c r="C328" s="742"/>
      <c r="D328" s="489">
        <v>2013</v>
      </c>
      <c r="E328" s="578">
        <f t="shared" si="157"/>
        <v>172.4</v>
      </c>
      <c r="F328" s="578"/>
      <c r="G328" s="492">
        <v>172.4</v>
      </c>
      <c r="H328" s="622"/>
      <c r="I328" s="578">
        <v>0</v>
      </c>
      <c r="J328" s="578"/>
      <c r="K328" s="569">
        <v>0</v>
      </c>
      <c r="L328" s="569"/>
      <c r="M328" s="569">
        <v>0</v>
      </c>
      <c r="N328" s="586"/>
      <c r="O328" s="569">
        <v>0</v>
      </c>
      <c r="P328" s="569"/>
      <c r="Q328" s="569">
        <v>0</v>
      </c>
      <c r="R328" s="569"/>
      <c r="S328" s="742"/>
      <c r="T328" s="742"/>
      <c r="U328" s="493">
        <f>AE328</f>
        <v>0</v>
      </c>
      <c r="V328" s="493"/>
      <c r="W328" s="577">
        <f aca="true" t="shared" si="163" ref="W328:W334">SUM(Y328:AC328)</f>
        <v>18.6192</v>
      </c>
      <c r="X328" s="577"/>
      <c r="Y328" s="577">
        <f>AT328</f>
        <v>18.6192</v>
      </c>
      <c r="Z328" s="577"/>
      <c r="AA328" s="577">
        <f>AR328</f>
        <v>0</v>
      </c>
      <c r="AB328" s="577"/>
      <c r="AC328" s="577">
        <f>AQ328</f>
        <v>0</v>
      </c>
      <c r="AD328" s="700"/>
      <c r="AE328" s="512">
        <f t="shared" si="139"/>
        <v>0</v>
      </c>
      <c r="AF328" s="520">
        <v>0</v>
      </c>
      <c r="AH328" s="512">
        <v>36012</v>
      </c>
      <c r="AJ328" s="513">
        <v>106.23302983559877</v>
      </c>
      <c r="AK328" s="514">
        <v>105.1948604625895</v>
      </c>
      <c r="AL328" s="513">
        <v>104.86113485125321</v>
      </c>
      <c r="AM328" s="512">
        <v>12</v>
      </c>
      <c r="AN328" s="512">
        <v>1000000</v>
      </c>
      <c r="AO328" s="512">
        <v>0.12</v>
      </c>
      <c r="AP328" s="523">
        <f>AE328*AH328*AJ328%*AM328/AN328*AO328</f>
        <v>0</v>
      </c>
      <c r="AQ328" s="523">
        <f t="shared" si="145"/>
        <v>0</v>
      </c>
      <c r="AR328" s="523">
        <f t="shared" si="146"/>
        <v>0</v>
      </c>
      <c r="AS328" s="512">
        <v>0.18</v>
      </c>
      <c r="AT328" s="523">
        <f t="shared" si="144"/>
        <v>18.6192</v>
      </c>
    </row>
    <row r="329" spans="1:46" ht="55.5" customHeight="1">
      <c r="A329" s="742"/>
      <c r="B329" s="742"/>
      <c r="C329" s="742"/>
      <c r="D329" s="489">
        <v>2014</v>
      </c>
      <c r="E329" s="578">
        <f t="shared" si="157"/>
        <v>1057.5</v>
      </c>
      <c r="F329" s="578"/>
      <c r="G329" s="492">
        <f>237.5+820</f>
        <v>1057.5</v>
      </c>
      <c r="H329" s="622"/>
      <c r="I329" s="578">
        <v>0</v>
      </c>
      <c r="J329" s="578"/>
      <c r="K329" s="569">
        <v>0</v>
      </c>
      <c r="L329" s="569"/>
      <c r="M329" s="569">
        <v>0</v>
      </c>
      <c r="N329" s="586"/>
      <c r="O329" s="569">
        <v>0</v>
      </c>
      <c r="P329" s="569"/>
      <c r="Q329" s="569">
        <v>0</v>
      </c>
      <c r="R329" s="569"/>
      <c r="S329" s="742"/>
      <c r="T329" s="742"/>
      <c r="U329" s="493">
        <f>AE329</f>
        <v>250</v>
      </c>
      <c r="V329" s="493"/>
      <c r="W329" s="577">
        <f t="shared" si="163"/>
        <v>127.84779833392358</v>
      </c>
      <c r="X329" s="577"/>
      <c r="Y329" s="577">
        <f>AT329</f>
        <v>114.21</v>
      </c>
      <c r="Z329" s="577"/>
      <c r="AA329" s="577">
        <f>AR329</f>
        <v>7.393050476819975</v>
      </c>
      <c r="AB329" s="577"/>
      <c r="AC329" s="577">
        <f>AQ329</f>
        <v>6.244747857103609</v>
      </c>
      <c r="AD329" s="700"/>
      <c r="AE329" s="512">
        <f aca="true" t="shared" si="164" ref="AE329:AE388">AF329+AG329</f>
        <v>250</v>
      </c>
      <c r="AF329" s="520">
        <v>0</v>
      </c>
      <c r="AG329" s="512">
        <v>250</v>
      </c>
      <c r="AH329" s="512">
        <v>36012</v>
      </c>
      <c r="AJ329" s="513">
        <v>106.23302983559877</v>
      </c>
      <c r="AK329" s="514">
        <v>105.1948604625895</v>
      </c>
      <c r="AL329" s="513">
        <v>104.86113485125321</v>
      </c>
      <c r="AM329" s="512">
        <v>12</v>
      </c>
      <c r="AN329" s="512">
        <v>1000000</v>
      </c>
      <c r="AO329" s="512">
        <v>0.12</v>
      </c>
      <c r="AP329" s="523">
        <f>AE329*AH329*AK329%*AM329/AN329*AO329</f>
        <v>13.637798333923584</v>
      </c>
      <c r="AQ329" s="523">
        <f t="shared" si="145"/>
        <v>6.244747857103609</v>
      </c>
      <c r="AR329" s="523">
        <f t="shared" si="146"/>
        <v>7.393050476819975</v>
      </c>
      <c r="AS329" s="512">
        <v>0.18</v>
      </c>
      <c r="AT329" s="523">
        <f t="shared" si="144"/>
        <v>114.21</v>
      </c>
    </row>
    <row r="330" spans="1:46" ht="55.5" customHeight="1">
      <c r="A330" s="742"/>
      <c r="B330" s="742"/>
      <c r="C330" s="742"/>
      <c r="D330" s="489">
        <v>2015</v>
      </c>
      <c r="E330" s="578">
        <f t="shared" si="157"/>
        <v>1077.5</v>
      </c>
      <c r="F330" s="578"/>
      <c r="G330" s="492">
        <f>257.5+820</f>
        <v>1077.5</v>
      </c>
      <c r="H330" s="622"/>
      <c r="I330" s="578">
        <v>0</v>
      </c>
      <c r="J330" s="578"/>
      <c r="K330" s="569">
        <v>0</v>
      </c>
      <c r="L330" s="569"/>
      <c r="M330" s="569">
        <v>0</v>
      </c>
      <c r="N330" s="586"/>
      <c r="O330" s="569">
        <v>0</v>
      </c>
      <c r="P330" s="569"/>
      <c r="Q330" s="569">
        <v>0</v>
      </c>
      <c r="R330" s="569"/>
      <c r="S330" s="742"/>
      <c r="T330" s="742"/>
      <c r="U330" s="493">
        <f>AE330</f>
        <v>250</v>
      </c>
      <c r="V330" s="493"/>
      <c r="W330" s="577">
        <f t="shared" si="163"/>
        <v>129.96453307774797</v>
      </c>
      <c r="X330" s="577"/>
      <c r="Y330" s="577">
        <f>AT330</f>
        <v>116.36999999999999</v>
      </c>
      <c r="Z330" s="577"/>
      <c r="AA330" s="577">
        <f>AR330</f>
        <v>7.369596381447185</v>
      </c>
      <c r="AB330" s="577"/>
      <c r="AC330" s="577">
        <f>AQ330</f>
        <v>6.224936696300804</v>
      </c>
      <c r="AD330" s="700"/>
      <c r="AE330" s="512">
        <f t="shared" si="164"/>
        <v>250</v>
      </c>
      <c r="AF330" s="520">
        <v>0</v>
      </c>
      <c r="AG330" s="512">
        <v>250</v>
      </c>
      <c r="AH330" s="512">
        <v>36012</v>
      </c>
      <c r="AJ330" s="513">
        <v>106.23302983559877</v>
      </c>
      <c r="AK330" s="514">
        <v>105.1948604625895</v>
      </c>
      <c r="AL330" s="513">
        <v>104.86113485125321</v>
      </c>
      <c r="AM330" s="512">
        <v>12</v>
      </c>
      <c r="AN330" s="512">
        <v>1000000</v>
      </c>
      <c r="AO330" s="512">
        <v>0.12</v>
      </c>
      <c r="AP330" s="523">
        <f>AE330*AH330*AL330%*AM330/AN330*AO330</f>
        <v>13.59453307774799</v>
      </c>
      <c r="AQ330" s="523">
        <f t="shared" si="145"/>
        <v>6.224936696300804</v>
      </c>
      <c r="AR330" s="523">
        <f t="shared" si="146"/>
        <v>7.369596381447185</v>
      </c>
      <c r="AS330" s="512">
        <v>0.18</v>
      </c>
      <c r="AT330" s="523">
        <f t="shared" si="144"/>
        <v>116.36999999999999</v>
      </c>
    </row>
    <row r="331" spans="1:46" ht="27.75" customHeight="1">
      <c r="A331" s="791">
        <v>7</v>
      </c>
      <c r="B331" s="768" t="s">
        <v>675</v>
      </c>
      <c r="C331" s="742" t="s">
        <v>676</v>
      </c>
      <c r="D331" s="489" t="s">
        <v>341</v>
      </c>
      <c r="E331" s="578">
        <f t="shared" si="157"/>
        <v>3096</v>
      </c>
      <c r="F331" s="578"/>
      <c r="G331" s="569">
        <f>SUM(G332:G334)</f>
        <v>3096</v>
      </c>
      <c r="H331" s="586"/>
      <c r="I331" s="578">
        <f>I332+I333+I334</f>
        <v>0</v>
      </c>
      <c r="J331" s="578"/>
      <c r="K331" s="569">
        <f>K332+K333+K334</f>
        <v>0</v>
      </c>
      <c r="L331" s="569"/>
      <c r="M331" s="569">
        <f>SUM(M332:M334)</f>
        <v>0</v>
      </c>
      <c r="N331" s="586"/>
      <c r="O331" s="569">
        <f>SUM(O332:O334)</f>
        <v>0</v>
      </c>
      <c r="P331" s="569"/>
      <c r="Q331" s="569">
        <f>SUM(Q332:Q334)</f>
        <v>0</v>
      </c>
      <c r="R331" s="581"/>
      <c r="S331" s="768"/>
      <c r="T331" s="779" t="s">
        <v>672</v>
      </c>
      <c r="U331" s="493">
        <f>SUM(U332:U334)</f>
        <v>780</v>
      </c>
      <c r="V331" s="493"/>
      <c r="W331" s="577">
        <f>SUM(Y331:AC331)</f>
        <v>376.9179308018416</v>
      </c>
      <c r="X331" s="577"/>
      <c r="Y331" s="577">
        <f>SUM(Y332:Y334)</f>
        <v>334.368</v>
      </c>
      <c r="Z331" s="577"/>
      <c r="AA331" s="577">
        <f>SUM(AA332:AA334)</f>
        <v>23.06631748767832</v>
      </c>
      <c r="AB331" s="577"/>
      <c r="AC331" s="577">
        <f>SUM(AC332:AC334)</f>
        <v>19.483613314163257</v>
      </c>
      <c r="AD331" s="700"/>
      <c r="AF331" s="520"/>
      <c r="AH331" s="512">
        <v>36012</v>
      </c>
      <c r="AJ331" s="513">
        <v>106.23302983559877</v>
      </c>
      <c r="AK331" s="514">
        <v>105.1948604625895</v>
      </c>
      <c r="AL331" s="513">
        <v>104.86113485125321</v>
      </c>
      <c r="AM331" s="512">
        <v>12</v>
      </c>
      <c r="AN331" s="512">
        <v>1000000</v>
      </c>
      <c r="AO331" s="512">
        <v>0.12</v>
      </c>
      <c r="AP331" s="523">
        <f>AE331*AH331*AJ331%*AM331/AN331*AO331</f>
        <v>0</v>
      </c>
      <c r="AQ331" s="523">
        <f t="shared" si="145"/>
        <v>0</v>
      </c>
      <c r="AR331" s="523">
        <f t="shared" si="146"/>
        <v>0</v>
      </c>
      <c r="AS331" s="512">
        <v>0.18</v>
      </c>
      <c r="AT331" s="523">
        <f t="shared" si="144"/>
        <v>334.368</v>
      </c>
    </row>
    <row r="332" spans="1:46" ht="27.75" customHeight="1">
      <c r="A332" s="792"/>
      <c r="B332" s="769"/>
      <c r="C332" s="742"/>
      <c r="D332" s="489">
        <v>2013</v>
      </c>
      <c r="E332" s="578">
        <f>G332+I332+K332</f>
        <v>0</v>
      </c>
      <c r="F332" s="578"/>
      <c r="G332" s="492">
        <v>0</v>
      </c>
      <c r="H332" s="622"/>
      <c r="I332" s="577">
        <v>0</v>
      </c>
      <c r="J332" s="577"/>
      <c r="K332" s="492">
        <v>0</v>
      </c>
      <c r="L332" s="492"/>
      <c r="M332" s="492">
        <v>0</v>
      </c>
      <c r="N332" s="622"/>
      <c r="O332" s="492">
        <v>0</v>
      </c>
      <c r="P332" s="492"/>
      <c r="Q332" s="492">
        <v>0</v>
      </c>
      <c r="R332" s="589"/>
      <c r="S332" s="769"/>
      <c r="T332" s="780"/>
      <c r="U332" s="493">
        <f>AE332</f>
        <v>0</v>
      </c>
      <c r="V332" s="493"/>
      <c r="W332" s="577">
        <f>SUM(Y332:AC332)</f>
        <v>0</v>
      </c>
      <c r="X332" s="577"/>
      <c r="Y332" s="577">
        <f>AT332</f>
        <v>0</v>
      </c>
      <c r="Z332" s="577"/>
      <c r="AA332" s="577">
        <f>AR332</f>
        <v>0</v>
      </c>
      <c r="AB332" s="577"/>
      <c r="AC332" s="577">
        <f>AQ332</f>
        <v>0</v>
      </c>
      <c r="AD332" s="700"/>
      <c r="AE332" s="512">
        <f t="shared" si="164"/>
        <v>0</v>
      </c>
      <c r="AF332" s="520">
        <v>0</v>
      </c>
      <c r="AH332" s="512">
        <v>36012</v>
      </c>
      <c r="AJ332" s="513">
        <v>106.23302983559877</v>
      </c>
      <c r="AK332" s="514">
        <v>105.1948604625895</v>
      </c>
      <c r="AL332" s="513">
        <v>104.86113485125321</v>
      </c>
      <c r="AM332" s="512">
        <v>12</v>
      </c>
      <c r="AN332" s="512">
        <v>1000000</v>
      </c>
      <c r="AO332" s="512">
        <v>0.12</v>
      </c>
      <c r="AP332" s="523">
        <f>AE332*AH332*AJ332%*AM332/AN332*AO332</f>
        <v>0</v>
      </c>
      <c r="AQ332" s="523">
        <f t="shared" si="145"/>
        <v>0</v>
      </c>
      <c r="AR332" s="523">
        <f t="shared" si="146"/>
        <v>0</v>
      </c>
      <c r="AS332" s="512">
        <v>0.18</v>
      </c>
      <c r="AT332" s="523">
        <f t="shared" si="144"/>
        <v>0</v>
      </c>
    </row>
    <row r="333" spans="1:46" ht="27.75" customHeight="1">
      <c r="A333" s="792"/>
      <c r="B333" s="769"/>
      <c r="C333" s="742"/>
      <c r="D333" s="489">
        <v>2014</v>
      </c>
      <c r="E333" s="578">
        <f aca="true" t="shared" si="165" ref="E333:E338">SUM(G333:Q333)</f>
        <v>1548</v>
      </c>
      <c r="F333" s="578"/>
      <c r="G333" s="492">
        <v>1548</v>
      </c>
      <c r="H333" s="622"/>
      <c r="I333" s="577">
        <v>0</v>
      </c>
      <c r="J333" s="577"/>
      <c r="K333" s="492">
        <v>0</v>
      </c>
      <c r="L333" s="492"/>
      <c r="M333" s="492">
        <v>0</v>
      </c>
      <c r="N333" s="622"/>
      <c r="O333" s="492">
        <v>0</v>
      </c>
      <c r="P333" s="492"/>
      <c r="Q333" s="492">
        <v>0</v>
      </c>
      <c r="R333" s="589"/>
      <c r="S333" s="769"/>
      <c r="T333" s="780"/>
      <c r="U333" s="493">
        <f>AE333</f>
        <v>780</v>
      </c>
      <c r="V333" s="493"/>
      <c r="W333" s="577">
        <f>SUM(Y333:AC333)</f>
        <v>209.73393080184158</v>
      </c>
      <c r="X333" s="577"/>
      <c r="Y333" s="577">
        <f>AT333</f>
        <v>167.184</v>
      </c>
      <c r="Z333" s="577"/>
      <c r="AA333" s="577">
        <f>AR333</f>
        <v>23.06631748767832</v>
      </c>
      <c r="AB333" s="577"/>
      <c r="AC333" s="577">
        <f>AQ333</f>
        <v>19.483613314163257</v>
      </c>
      <c r="AD333" s="700"/>
      <c r="AE333" s="512">
        <f t="shared" si="164"/>
        <v>780</v>
      </c>
      <c r="AF333" s="520">
        <v>0</v>
      </c>
      <c r="AG333" s="512">
        <v>780</v>
      </c>
      <c r="AH333" s="512">
        <v>36012</v>
      </c>
      <c r="AJ333" s="513">
        <v>106.23302983559877</v>
      </c>
      <c r="AK333" s="514">
        <v>105.1948604625895</v>
      </c>
      <c r="AL333" s="513">
        <v>104.86113485125321</v>
      </c>
      <c r="AM333" s="512">
        <v>12</v>
      </c>
      <c r="AN333" s="512">
        <v>1000000</v>
      </c>
      <c r="AO333" s="512">
        <v>0.12</v>
      </c>
      <c r="AP333" s="523">
        <f>AE333*AH333*AK333%*AM333/AN333*AO333</f>
        <v>42.549930801841576</v>
      </c>
      <c r="AQ333" s="523">
        <f t="shared" si="145"/>
        <v>19.483613314163257</v>
      </c>
      <c r="AR333" s="523">
        <f t="shared" si="146"/>
        <v>23.06631748767832</v>
      </c>
      <c r="AS333" s="512">
        <v>0.18</v>
      </c>
      <c r="AT333" s="523">
        <f t="shared" si="144"/>
        <v>167.184</v>
      </c>
    </row>
    <row r="334" spans="1:46" ht="27.75" customHeight="1">
      <c r="A334" s="793"/>
      <c r="B334" s="770"/>
      <c r="C334" s="742"/>
      <c r="D334" s="489">
        <v>2015</v>
      </c>
      <c r="E334" s="578">
        <f t="shared" si="165"/>
        <v>1548</v>
      </c>
      <c r="F334" s="578"/>
      <c r="G334" s="492">
        <v>1548</v>
      </c>
      <c r="H334" s="622"/>
      <c r="I334" s="577">
        <v>0</v>
      </c>
      <c r="J334" s="577"/>
      <c r="K334" s="492">
        <v>0</v>
      </c>
      <c r="L334" s="492"/>
      <c r="M334" s="492">
        <v>0</v>
      </c>
      <c r="N334" s="622"/>
      <c r="O334" s="492">
        <v>0</v>
      </c>
      <c r="P334" s="492"/>
      <c r="Q334" s="492">
        <v>0</v>
      </c>
      <c r="R334" s="590"/>
      <c r="S334" s="770"/>
      <c r="T334" s="781"/>
      <c r="U334" s="493">
        <f>AE334</f>
        <v>0</v>
      </c>
      <c r="V334" s="493"/>
      <c r="W334" s="577">
        <f t="shared" si="163"/>
        <v>167.184</v>
      </c>
      <c r="X334" s="577"/>
      <c r="Y334" s="577">
        <f>AT334</f>
        <v>167.184</v>
      </c>
      <c r="Z334" s="577"/>
      <c r="AA334" s="577">
        <f>AR334</f>
        <v>0</v>
      </c>
      <c r="AB334" s="577"/>
      <c r="AC334" s="577">
        <f>AQ334</f>
        <v>0</v>
      </c>
      <c r="AD334" s="700"/>
      <c r="AE334" s="512">
        <f t="shared" si="164"/>
        <v>0</v>
      </c>
      <c r="AF334" s="520">
        <v>0</v>
      </c>
      <c r="AG334" s="512">
        <v>0</v>
      </c>
      <c r="AH334" s="512">
        <v>36012</v>
      </c>
      <c r="AJ334" s="513">
        <v>106.23302983559877</v>
      </c>
      <c r="AK334" s="514">
        <v>105.1948604625895</v>
      </c>
      <c r="AL334" s="513">
        <v>104.86113485125321</v>
      </c>
      <c r="AM334" s="512">
        <v>12</v>
      </c>
      <c r="AN334" s="512">
        <v>1000000</v>
      </c>
      <c r="AO334" s="512">
        <v>0.12</v>
      </c>
      <c r="AP334" s="523">
        <f>AE334*AH334*AL334%*AM334/AN334*AO334</f>
        <v>0</v>
      </c>
      <c r="AQ334" s="523">
        <f t="shared" si="145"/>
        <v>0</v>
      </c>
      <c r="AR334" s="523">
        <f t="shared" si="146"/>
        <v>0</v>
      </c>
      <c r="AS334" s="512">
        <v>0.18</v>
      </c>
      <c r="AT334" s="523">
        <f t="shared" si="144"/>
        <v>167.184</v>
      </c>
    </row>
    <row r="335" spans="1:46" ht="64.5" customHeight="1">
      <c r="A335" s="773" t="s">
        <v>78</v>
      </c>
      <c r="B335" s="742" t="s">
        <v>856</v>
      </c>
      <c r="C335" s="742" t="s">
        <v>278</v>
      </c>
      <c r="D335" s="568" t="s">
        <v>273</v>
      </c>
      <c r="E335" s="578">
        <f t="shared" si="165"/>
        <v>1.577</v>
      </c>
      <c r="F335" s="578"/>
      <c r="G335" s="569">
        <f aca="true" t="shared" si="166" ref="G335:Q335">SUM(G336:G338)</f>
        <v>0</v>
      </c>
      <c r="H335" s="586"/>
      <c r="I335" s="578">
        <f t="shared" si="166"/>
        <v>0</v>
      </c>
      <c r="J335" s="578"/>
      <c r="K335" s="569">
        <f t="shared" si="166"/>
        <v>1.577</v>
      </c>
      <c r="L335" s="569"/>
      <c r="M335" s="569">
        <f t="shared" si="166"/>
        <v>0</v>
      </c>
      <c r="N335" s="586"/>
      <c r="O335" s="569">
        <f t="shared" si="166"/>
        <v>0</v>
      </c>
      <c r="P335" s="569"/>
      <c r="Q335" s="569">
        <f t="shared" si="166"/>
        <v>0</v>
      </c>
      <c r="R335" s="581"/>
      <c r="S335" s="847" t="s">
        <v>695</v>
      </c>
      <c r="T335" s="768"/>
      <c r="U335" s="493">
        <f>SUM(U336:U338)</f>
        <v>0</v>
      </c>
      <c r="V335" s="493"/>
      <c r="W335" s="577">
        <f>SUM(W336:W338)</f>
        <v>0.17031599999999997</v>
      </c>
      <c r="X335" s="577"/>
      <c r="Y335" s="577">
        <f>SUM(Y336:Y338)</f>
        <v>0.17031599999999997</v>
      </c>
      <c r="Z335" s="577"/>
      <c r="AA335" s="577">
        <f>SUM(AA336:AA338)</f>
        <v>0</v>
      </c>
      <c r="AB335" s="577"/>
      <c r="AC335" s="577">
        <f>SUM(AC336:AC338)</f>
        <v>0</v>
      </c>
      <c r="AD335" s="700"/>
      <c r="AF335" s="520"/>
      <c r="AH335" s="512">
        <v>36012</v>
      </c>
      <c r="AJ335" s="513">
        <v>106.23302983559877</v>
      </c>
      <c r="AK335" s="514">
        <v>105.1948604625895</v>
      </c>
      <c r="AL335" s="513">
        <v>104.86113485125321</v>
      </c>
      <c r="AM335" s="512">
        <v>12</v>
      </c>
      <c r="AN335" s="512">
        <v>1000000</v>
      </c>
      <c r="AO335" s="512">
        <v>0.12</v>
      </c>
      <c r="AP335" s="523">
        <f>AE335*AH335*AJ335%*AM335/AN335*AO335</f>
        <v>0</v>
      </c>
      <c r="AQ335" s="523">
        <f t="shared" si="145"/>
        <v>0</v>
      </c>
      <c r="AR335" s="523">
        <f t="shared" si="146"/>
        <v>0</v>
      </c>
      <c r="AS335" s="512">
        <v>0.18</v>
      </c>
      <c r="AT335" s="523">
        <f t="shared" si="144"/>
        <v>0.17031599999999997</v>
      </c>
    </row>
    <row r="336" spans="1:46" ht="64.5" customHeight="1">
      <c r="A336" s="773"/>
      <c r="B336" s="742"/>
      <c r="C336" s="742"/>
      <c r="D336" s="489">
        <v>2013</v>
      </c>
      <c r="E336" s="578">
        <f t="shared" si="165"/>
        <v>1.577</v>
      </c>
      <c r="F336" s="578"/>
      <c r="G336" s="569">
        <v>0</v>
      </c>
      <c r="H336" s="586"/>
      <c r="I336" s="578">
        <v>0</v>
      </c>
      <c r="J336" s="578"/>
      <c r="K336" s="492">
        <v>1.577</v>
      </c>
      <c r="L336" s="576"/>
      <c r="M336" s="569">
        <v>0</v>
      </c>
      <c r="N336" s="586"/>
      <c r="O336" s="569">
        <v>0</v>
      </c>
      <c r="P336" s="569"/>
      <c r="Q336" s="569">
        <v>0</v>
      </c>
      <c r="R336" s="582"/>
      <c r="S336" s="848"/>
      <c r="T336" s="769"/>
      <c r="U336" s="493">
        <f>AE336</f>
        <v>0</v>
      </c>
      <c r="V336" s="493"/>
      <c r="W336" s="577">
        <f>SUM(Y336:AC336)</f>
        <v>0.17031599999999997</v>
      </c>
      <c r="X336" s="577"/>
      <c r="Y336" s="577">
        <f>AT336</f>
        <v>0.17031599999999997</v>
      </c>
      <c r="Z336" s="577"/>
      <c r="AA336" s="577">
        <f>AR336</f>
        <v>0</v>
      </c>
      <c r="AB336" s="577"/>
      <c r="AC336" s="577">
        <f>AQ336</f>
        <v>0</v>
      </c>
      <c r="AD336" s="700"/>
      <c r="AE336" s="512">
        <f t="shared" si="164"/>
        <v>0</v>
      </c>
      <c r="AF336" s="542">
        <v>0</v>
      </c>
      <c r="AH336" s="512">
        <v>36012</v>
      </c>
      <c r="AJ336" s="513">
        <v>106.23302983559877</v>
      </c>
      <c r="AK336" s="514">
        <v>105.1948604625895</v>
      </c>
      <c r="AL336" s="513">
        <v>104.86113485125321</v>
      </c>
      <c r="AM336" s="512">
        <v>12</v>
      </c>
      <c r="AN336" s="512">
        <v>1000000</v>
      </c>
      <c r="AO336" s="512">
        <v>0.12</v>
      </c>
      <c r="AP336" s="523">
        <f>AE336*AH336*AJ336%*AM336/AN336*AO336</f>
        <v>0</v>
      </c>
      <c r="AQ336" s="523">
        <f t="shared" si="145"/>
        <v>0</v>
      </c>
      <c r="AR336" s="523">
        <f t="shared" si="146"/>
        <v>0</v>
      </c>
      <c r="AS336" s="512">
        <v>0.18</v>
      </c>
      <c r="AT336" s="523">
        <f t="shared" si="144"/>
        <v>0.17031599999999997</v>
      </c>
    </row>
    <row r="337" spans="1:46" ht="64.5" customHeight="1">
      <c r="A337" s="773"/>
      <c r="B337" s="742"/>
      <c r="C337" s="742"/>
      <c r="D337" s="489">
        <v>2014</v>
      </c>
      <c r="E337" s="578">
        <f t="shared" si="165"/>
        <v>0</v>
      </c>
      <c r="F337" s="578"/>
      <c r="G337" s="569">
        <v>0</v>
      </c>
      <c r="H337" s="586"/>
      <c r="I337" s="578">
        <v>0</v>
      </c>
      <c r="J337" s="578"/>
      <c r="K337" s="569">
        <v>0</v>
      </c>
      <c r="L337" s="569"/>
      <c r="M337" s="569">
        <v>0</v>
      </c>
      <c r="N337" s="586"/>
      <c r="O337" s="569">
        <v>0</v>
      </c>
      <c r="P337" s="569"/>
      <c r="Q337" s="569">
        <v>0</v>
      </c>
      <c r="R337" s="582"/>
      <c r="S337" s="848"/>
      <c r="T337" s="769"/>
      <c r="U337" s="493">
        <f>AE337</f>
        <v>0</v>
      </c>
      <c r="V337" s="493"/>
      <c r="W337" s="577">
        <f>SUM(Y337:AC337)</f>
        <v>0</v>
      </c>
      <c r="X337" s="577"/>
      <c r="Y337" s="577">
        <f>AT337</f>
        <v>0</v>
      </c>
      <c r="Z337" s="577"/>
      <c r="AA337" s="577">
        <f>AR337</f>
        <v>0</v>
      </c>
      <c r="AB337" s="577"/>
      <c r="AC337" s="577">
        <f>AQ337</f>
        <v>0</v>
      </c>
      <c r="AD337" s="700"/>
      <c r="AE337" s="512">
        <f t="shared" si="164"/>
        <v>0</v>
      </c>
      <c r="AF337" s="542">
        <v>0</v>
      </c>
      <c r="AH337" s="512">
        <v>36012</v>
      </c>
      <c r="AJ337" s="513">
        <v>106.23302983559877</v>
      </c>
      <c r="AK337" s="514">
        <v>105.1948604625895</v>
      </c>
      <c r="AL337" s="513">
        <v>104.86113485125321</v>
      </c>
      <c r="AM337" s="512">
        <v>12</v>
      </c>
      <c r="AN337" s="512">
        <v>1000000</v>
      </c>
      <c r="AO337" s="512">
        <v>0.12</v>
      </c>
      <c r="AP337" s="523">
        <f>AE337*AH337*AK337%*AM337/AN337*AO337</f>
        <v>0</v>
      </c>
      <c r="AQ337" s="523">
        <f t="shared" si="145"/>
        <v>0</v>
      </c>
      <c r="AR337" s="523">
        <f t="shared" si="146"/>
        <v>0</v>
      </c>
      <c r="AS337" s="512">
        <v>0.18</v>
      </c>
      <c r="AT337" s="523">
        <f t="shared" si="144"/>
        <v>0</v>
      </c>
    </row>
    <row r="338" spans="1:46" ht="64.5" customHeight="1">
      <c r="A338" s="773"/>
      <c r="B338" s="742"/>
      <c r="C338" s="742"/>
      <c r="D338" s="489">
        <v>2015</v>
      </c>
      <c r="E338" s="578">
        <f t="shared" si="165"/>
        <v>0</v>
      </c>
      <c r="F338" s="578"/>
      <c r="G338" s="569">
        <v>0</v>
      </c>
      <c r="H338" s="586"/>
      <c r="I338" s="578">
        <v>0</v>
      </c>
      <c r="J338" s="578"/>
      <c r="K338" s="569">
        <v>0</v>
      </c>
      <c r="L338" s="569"/>
      <c r="M338" s="569">
        <v>0</v>
      </c>
      <c r="N338" s="586"/>
      <c r="O338" s="569">
        <v>0</v>
      </c>
      <c r="P338" s="569"/>
      <c r="Q338" s="569">
        <v>0</v>
      </c>
      <c r="R338" s="583"/>
      <c r="S338" s="849"/>
      <c r="T338" s="770"/>
      <c r="U338" s="493">
        <f>AE338</f>
        <v>0</v>
      </c>
      <c r="V338" s="493"/>
      <c r="W338" s="577">
        <f>SUM(Y338:AC338)</f>
        <v>0</v>
      </c>
      <c r="X338" s="577"/>
      <c r="Y338" s="577">
        <f>AT338</f>
        <v>0</v>
      </c>
      <c r="Z338" s="577"/>
      <c r="AA338" s="577">
        <f>AR338</f>
        <v>0</v>
      </c>
      <c r="AB338" s="577"/>
      <c r="AC338" s="577">
        <f>AQ338</f>
        <v>0</v>
      </c>
      <c r="AD338" s="700"/>
      <c r="AE338" s="512">
        <f t="shared" si="164"/>
        <v>0</v>
      </c>
      <c r="AF338" s="542">
        <v>0</v>
      </c>
      <c r="AH338" s="512">
        <v>36012</v>
      </c>
      <c r="AJ338" s="513">
        <v>106.23302983559877</v>
      </c>
      <c r="AK338" s="514">
        <v>105.1948604625895</v>
      </c>
      <c r="AL338" s="513">
        <v>104.86113485125321</v>
      </c>
      <c r="AM338" s="512">
        <v>12</v>
      </c>
      <c r="AN338" s="512">
        <v>1000000</v>
      </c>
      <c r="AO338" s="512">
        <v>0.12</v>
      </c>
      <c r="AP338" s="523">
        <f>AE338*AH338*AL338%*AM338/AN338*AO338</f>
        <v>0</v>
      </c>
      <c r="AQ338" s="523">
        <f t="shared" si="145"/>
        <v>0</v>
      </c>
      <c r="AR338" s="523">
        <f t="shared" si="146"/>
        <v>0</v>
      </c>
      <c r="AS338" s="512">
        <v>0.18</v>
      </c>
      <c r="AT338" s="523">
        <f t="shared" si="144"/>
        <v>0</v>
      </c>
    </row>
    <row r="339" spans="1:46" ht="156" customHeight="1" hidden="1">
      <c r="A339" s="775"/>
      <c r="B339" s="768"/>
      <c r="C339" s="768"/>
      <c r="D339" s="489"/>
      <c r="E339" s="578"/>
      <c r="F339" s="578"/>
      <c r="G339" s="569"/>
      <c r="H339" s="586"/>
      <c r="I339" s="578"/>
      <c r="J339" s="578"/>
      <c r="K339" s="569"/>
      <c r="L339" s="569"/>
      <c r="M339" s="569"/>
      <c r="N339" s="586"/>
      <c r="O339" s="569"/>
      <c r="P339" s="569"/>
      <c r="Q339" s="569"/>
      <c r="R339" s="592"/>
      <c r="S339" s="593"/>
      <c r="T339" s="847"/>
      <c r="U339" s="588"/>
      <c r="V339" s="588"/>
      <c r="W339" s="577"/>
      <c r="X339" s="725"/>
      <c r="Y339" s="725"/>
      <c r="Z339" s="725"/>
      <c r="AA339" s="725"/>
      <c r="AB339" s="725"/>
      <c r="AC339" s="725"/>
      <c r="AD339" s="700"/>
      <c r="AE339" s="512">
        <f t="shared" si="164"/>
        <v>0</v>
      </c>
      <c r="AF339" s="542"/>
      <c r="AH339" s="512">
        <v>36012</v>
      </c>
      <c r="AJ339" s="513">
        <v>106.23302983559877</v>
      </c>
      <c r="AK339" s="514">
        <v>105.1948604625895</v>
      </c>
      <c r="AL339" s="513">
        <v>104.86113485125321</v>
      </c>
      <c r="AM339" s="512">
        <v>12</v>
      </c>
      <c r="AN339" s="512">
        <v>1000000</v>
      </c>
      <c r="AO339" s="512">
        <v>0.12</v>
      </c>
      <c r="AP339" s="523">
        <f>AE339*AH339*AJ339%*AM339/AN339*AO339</f>
        <v>0</v>
      </c>
      <c r="AQ339" s="523">
        <f t="shared" si="145"/>
        <v>0</v>
      </c>
      <c r="AR339" s="523">
        <f t="shared" si="146"/>
        <v>0</v>
      </c>
      <c r="AS339" s="512">
        <v>0.18</v>
      </c>
      <c r="AT339" s="523">
        <f t="shared" si="144"/>
        <v>0</v>
      </c>
    </row>
    <row r="340" spans="1:46" ht="36.75" customHeight="1" hidden="1">
      <c r="A340" s="776"/>
      <c r="B340" s="770"/>
      <c r="C340" s="770"/>
      <c r="D340" s="489"/>
      <c r="E340" s="578"/>
      <c r="F340" s="578"/>
      <c r="G340" s="569"/>
      <c r="H340" s="586"/>
      <c r="I340" s="578"/>
      <c r="J340" s="578"/>
      <c r="K340" s="569"/>
      <c r="L340" s="569"/>
      <c r="M340" s="569"/>
      <c r="N340" s="586"/>
      <c r="O340" s="569"/>
      <c r="P340" s="569"/>
      <c r="Q340" s="569"/>
      <c r="R340" s="583"/>
      <c r="S340" s="591"/>
      <c r="T340" s="776"/>
      <c r="U340" s="588"/>
      <c r="V340" s="588"/>
      <c r="W340" s="577"/>
      <c r="X340" s="725"/>
      <c r="Y340" s="725"/>
      <c r="Z340" s="725"/>
      <c r="AA340" s="725"/>
      <c r="AB340" s="725"/>
      <c r="AC340" s="725"/>
      <c r="AD340" s="700"/>
      <c r="AE340" s="512">
        <f t="shared" si="164"/>
        <v>0</v>
      </c>
      <c r="AF340" s="542"/>
      <c r="AH340" s="512">
        <v>36012</v>
      </c>
      <c r="AJ340" s="513">
        <v>106.23302983559877</v>
      </c>
      <c r="AK340" s="514">
        <v>105.1948604625895</v>
      </c>
      <c r="AL340" s="513">
        <v>104.86113485125321</v>
      </c>
      <c r="AM340" s="512">
        <v>12</v>
      </c>
      <c r="AN340" s="512">
        <v>1000000</v>
      </c>
      <c r="AO340" s="512">
        <v>0.12</v>
      </c>
      <c r="AP340" s="523">
        <f>AE340*AH340*AJ340%*AM340/AN340*AO340</f>
        <v>0</v>
      </c>
      <c r="AQ340" s="523">
        <f t="shared" si="145"/>
        <v>0</v>
      </c>
      <c r="AR340" s="523">
        <f t="shared" si="146"/>
        <v>0</v>
      </c>
      <c r="AS340" s="512">
        <v>0.18</v>
      </c>
      <c r="AT340" s="523">
        <f t="shared" si="144"/>
        <v>0</v>
      </c>
    </row>
    <row r="341" spans="1:46" ht="21" customHeight="1">
      <c r="A341" s="763">
        <v>9</v>
      </c>
      <c r="B341" s="742" t="s">
        <v>688</v>
      </c>
      <c r="C341" s="742" t="s">
        <v>689</v>
      </c>
      <c r="D341" s="568" t="s">
        <v>273</v>
      </c>
      <c r="E341" s="578">
        <f aca="true" t="shared" si="167" ref="E341:E353">SUM(G341:Q341)</f>
        <v>11.01</v>
      </c>
      <c r="F341" s="578"/>
      <c r="G341" s="569">
        <f aca="true" t="shared" si="168" ref="G341:Q341">SUM(G342:G344)</f>
        <v>0</v>
      </c>
      <c r="H341" s="586"/>
      <c r="I341" s="578">
        <f t="shared" si="168"/>
        <v>0</v>
      </c>
      <c r="J341" s="578"/>
      <c r="K341" s="569">
        <f t="shared" si="168"/>
        <v>0</v>
      </c>
      <c r="L341" s="569"/>
      <c r="M341" s="569">
        <f t="shared" si="168"/>
        <v>11.01</v>
      </c>
      <c r="N341" s="586"/>
      <c r="O341" s="569">
        <f t="shared" si="168"/>
        <v>0</v>
      </c>
      <c r="P341" s="569"/>
      <c r="Q341" s="569">
        <f t="shared" si="168"/>
        <v>0</v>
      </c>
      <c r="R341" s="569"/>
      <c r="S341" s="762" t="s">
        <v>857</v>
      </c>
      <c r="T341" s="762" t="s">
        <v>518</v>
      </c>
      <c r="U341" s="493">
        <f>SUM(U342:U344)</f>
        <v>0</v>
      </c>
      <c r="V341" s="493"/>
      <c r="W341" s="577">
        <f>SUM(W342:W344)</f>
        <v>1.18908</v>
      </c>
      <c r="X341" s="577"/>
      <c r="Y341" s="577">
        <f>SUM(Y342:Y344)</f>
        <v>1.18908</v>
      </c>
      <c r="Z341" s="577"/>
      <c r="AA341" s="577">
        <f>SUM(AA342:AA344)</f>
        <v>0</v>
      </c>
      <c r="AB341" s="577"/>
      <c r="AC341" s="577">
        <f>SUM(AC342:AC344)</f>
        <v>0</v>
      </c>
      <c r="AD341" s="700"/>
      <c r="AF341" s="520"/>
      <c r="AH341" s="512">
        <v>36012</v>
      </c>
      <c r="AJ341" s="513">
        <v>106.23302983559877</v>
      </c>
      <c r="AK341" s="514">
        <v>105.1948604625895</v>
      </c>
      <c r="AL341" s="513">
        <v>104.86113485125321</v>
      </c>
      <c r="AM341" s="512">
        <v>12</v>
      </c>
      <c r="AN341" s="512">
        <v>1000000</v>
      </c>
      <c r="AO341" s="512">
        <v>0.12</v>
      </c>
      <c r="AP341" s="523">
        <f>AE341*AH341*AJ341%*AM341/AN341*AO341</f>
        <v>0</v>
      </c>
      <c r="AQ341" s="523">
        <f t="shared" si="145"/>
        <v>0</v>
      </c>
      <c r="AR341" s="523">
        <f t="shared" si="146"/>
        <v>0</v>
      </c>
      <c r="AS341" s="512">
        <v>0.18</v>
      </c>
      <c r="AT341" s="523">
        <f t="shared" si="144"/>
        <v>1.18908</v>
      </c>
    </row>
    <row r="342" spans="1:46" ht="21" customHeight="1">
      <c r="A342" s="763"/>
      <c r="B342" s="742"/>
      <c r="C342" s="742"/>
      <c r="D342" s="491">
        <v>2013</v>
      </c>
      <c r="E342" s="578">
        <f>G342+I342+K342+M342+Q342</f>
        <v>3.67</v>
      </c>
      <c r="F342" s="578">
        <v>8.577</v>
      </c>
      <c r="G342" s="569">
        <v>0</v>
      </c>
      <c r="H342" s="586"/>
      <c r="I342" s="578">
        <v>0</v>
      </c>
      <c r="J342" s="578"/>
      <c r="K342" s="569">
        <v>0</v>
      </c>
      <c r="L342" s="569"/>
      <c r="M342" s="492">
        <v>3.67</v>
      </c>
      <c r="N342" s="622">
        <v>8.577</v>
      </c>
      <c r="O342" s="569">
        <v>0</v>
      </c>
      <c r="P342" s="569"/>
      <c r="Q342" s="569">
        <v>0</v>
      </c>
      <c r="R342" s="569"/>
      <c r="S342" s="762"/>
      <c r="T342" s="762"/>
      <c r="U342" s="493">
        <f>AE342</f>
        <v>0</v>
      </c>
      <c r="V342" s="493"/>
      <c r="W342" s="577">
        <f>SUM(Y342:AC342)</f>
        <v>0.39636</v>
      </c>
      <c r="X342" s="577"/>
      <c r="Y342" s="577">
        <f>AT342</f>
        <v>0.39636</v>
      </c>
      <c r="Z342" s="577"/>
      <c r="AA342" s="577">
        <f>AR342</f>
        <v>0</v>
      </c>
      <c r="AB342" s="577"/>
      <c r="AC342" s="577">
        <f>AQ342</f>
        <v>0</v>
      </c>
      <c r="AD342" s="700"/>
      <c r="AE342" s="512">
        <f t="shared" si="164"/>
        <v>0</v>
      </c>
      <c r="AF342" s="520">
        <v>0</v>
      </c>
      <c r="AH342" s="512">
        <v>36012</v>
      </c>
      <c r="AJ342" s="513">
        <v>106.23302983559877</v>
      </c>
      <c r="AK342" s="514">
        <v>105.1948604625895</v>
      </c>
      <c r="AL342" s="513">
        <v>104.86113485125321</v>
      </c>
      <c r="AM342" s="512">
        <v>12</v>
      </c>
      <c r="AN342" s="512">
        <v>1000000</v>
      </c>
      <c r="AO342" s="512">
        <v>0.12</v>
      </c>
      <c r="AP342" s="523">
        <f>AE342*AH342*AJ342%*AM342/AN342*AO342</f>
        <v>0</v>
      </c>
      <c r="AQ342" s="523">
        <f t="shared" si="145"/>
        <v>0</v>
      </c>
      <c r="AR342" s="523">
        <f t="shared" si="146"/>
        <v>0</v>
      </c>
      <c r="AS342" s="512">
        <v>0.18</v>
      </c>
      <c r="AT342" s="523">
        <f aca="true" t="shared" si="169" ref="AT342:AT405">E342*0.6*AS342</f>
        <v>0.39636</v>
      </c>
    </row>
    <row r="343" spans="1:46" ht="21" customHeight="1">
      <c r="A343" s="763"/>
      <c r="B343" s="742"/>
      <c r="C343" s="742"/>
      <c r="D343" s="491">
        <v>2014</v>
      </c>
      <c r="E343" s="578">
        <v>3.67</v>
      </c>
      <c r="F343" s="578">
        <v>1.81</v>
      </c>
      <c r="G343" s="569">
        <v>0</v>
      </c>
      <c r="H343" s="586"/>
      <c r="I343" s="578">
        <v>0</v>
      </c>
      <c r="J343" s="578"/>
      <c r="K343" s="569">
        <v>0</v>
      </c>
      <c r="L343" s="569"/>
      <c r="M343" s="492">
        <v>3.67</v>
      </c>
      <c r="N343" s="622">
        <v>1.81</v>
      </c>
      <c r="O343" s="569">
        <v>0</v>
      </c>
      <c r="P343" s="569"/>
      <c r="Q343" s="569">
        <v>0</v>
      </c>
      <c r="R343" s="569"/>
      <c r="S343" s="762"/>
      <c r="T343" s="762"/>
      <c r="U343" s="493">
        <f>AE343</f>
        <v>0</v>
      </c>
      <c r="V343" s="493"/>
      <c r="W343" s="577">
        <f>Y343+AA343+AC343</f>
        <v>0.39636</v>
      </c>
      <c r="X343" s="577">
        <v>0.3</v>
      </c>
      <c r="Y343" s="577">
        <f>AT343</f>
        <v>0.39636</v>
      </c>
      <c r="Z343" s="577">
        <v>0.3</v>
      </c>
      <c r="AA343" s="577">
        <f>AR343</f>
        <v>0</v>
      </c>
      <c r="AB343" s="577"/>
      <c r="AC343" s="577">
        <f>AQ343</f>
        <v>0</v>
      </c>
      <c r="AD343" s="700"/>
      <c r="AE343" s="512">
        <f t="shared" si="164"/>
        <v>0</v>
      </c>
      <c r="AF343" s="520">
        <v>0</v>
      </c>
      <c r="AH343" s="512">
        <v>36012</v>
      </c>
      <c r="AJ343" s="513">
        <v>106.23302983559877</v>
      </c>
      <c r="AK343" s="514">
        <v>105.1948604625895</v>
      </c>
      <c r="AL343" s="513">
        <v>104.86113485125321</v>
      </c>
      <c r="AM343" s="512">
        <v>12</v>
      </c>
      <c r="AN343" s="512">
        <v>1000000</v>
      </c>
      <c r="AO343" s="512">
        <v>0.12</v>
      </c>
      <c r="AP343" s="523">
        <f>AE343*AH343*AK343%*AM343/AN343*AO343</f>
        <v>0</v>
      </c>
      <c r="AQ343" s="523">
        <f aca="true" t="shared" si="170" ref="AQ343:AQ406">AP343*0.4579</f>
        <v>0</v>
      </c>
      <c r="AR343" s="523">
        <f aca="true" t="shared" si="171" ref="AR343:AR406">AP343-AQ343</f>
        <v>0</v>
      </c>
      <c r="AS343" s="512">
        <v>0.18</v>
      </c>
      <c r="AT343" s="523">
        <f t="shared" si="169"/>
        <v>0.39636</v>
      </c>
    </row>
    <row r="344" spans="1:46" ht="21" customHeight="1">
      <c r="A344" s="763"/>
      <c r="B344" s="742"/>
      <c r="C344" s="742"/>
      <c r="D344" s="491">
        <v>2015</v>
      </c>
      <c r="E344" s="578">
        <f t="shared" si="167"/>
        <v>3.67</v>
      </c>
      <c r="F344" s="578">
        <v>0</v>
      </c>
      <c r="G344" s="569">
        <v>0</v>
      </c>
      <c r="H344" s="586"/>
      <c r="I344" s="578">
        <v>0</v>
      </c>
      <c r="J344" s="578"/>
      <c r="K344" s="569">
        <v>0</v>
      </c>
      <c r="L344" s="569"/>
      <c r="M344" s="492">
        <v>3.67</v>
      </c>
      <c r="N344" s="622"/>
      <c r="O344" s="569">
        <v>0</v>
      </c>
      <c r="P344" s="569"/>
      <c r="Q344" s="569">
        <v>0</v>
      </c>
      <c r="R344" s="569"/>
      <c r="S344" s="762"/>
      <c r="T344" s="762"/>
      <c r="U344" s="493">
        <f>AE344</f>
        <v>0</v>
      </c>
      <c r="V344" s="493"/>
      <c r="W344" s="577">
        <f>SUM(Y344:AC344)</f>
        <v>0.39636</v>
      </c>
      <c r="X344" s="577"/>
      <c r="Y344" s="577">
        <f>AT344</f>
        <v>0.39636</v>
      </c>
      <c r="Z344" s="577"/>
      <c r="AA344" s="577">
        <f>AR344</f>
        <v>0</v>
      </c>
      <c r="AB344" s="577"/>
      <c r="AC344" s="577">
        <f>AQ344</f>
        <v>0</v>
      </c>
      <c r="AD344" s="700"/>
      <c r="AE344" s="512">
        <f t="shared" si="164"/>
        <v>0</v>
      </c>
      <c r="AF344" s="520">
        <v>0</v>
      </c>
      <c r="AH344" s="512">
        <v>36012</v>
      </c>
      <c r="AJ344" s="513">
        <v>106.23302983559877</v>
      </c>
      <c r="AK344" s="514">
        <v>105.1948604625895</v>
      </c>
      <c r="AL344" s="513">
        <v>104.86113485125321</v>
      </c>
      <c r="AM344" s="512">
        <v>12</v>
      </c>
      <c r="AN344" s="512">
        <v>1000000</v>
      </c>
      <c r="AO344" s="512">
        <v>0.12</v>
      </c>
      <c r="AP344" s="523">
        <f>AE344*AH344*AL344%*AM344/AN344*AO344</f>
        <v>0</v>
      </c>
      <c r="AQ344" s="523">
        <f t="shared" si="170"/>
        <v>0</v>
      </c>
      <c r="AR344" s="523">
        <f t="shared" si="171"/>
        <v>0</v>
      </c>
      <c r="AS344" s="512">
        <v>0.18</v>
      </c>
      <c r="AT344" s="523">
        <f t="shared" si="169"/>
        <v>0.39636</v>
      </c>
    </row>
    <row r="345" spans="1:46" ht="37.5" customHeight="1">
      <c r="A345" s="763">
        <v>10</v>
      </c>
      <c r="B345" s="742" t="s">
        <v>690</v>
      </c>
      <c r="C345" s="742" t="s">
        <v>689</v>
      </c>
      <c r="D345" s="568" t="s">
        <v>273</v>
      </c>
      <c r="E345" s="578">
        <f t="shared" si="167"/>
        <v>10.2</v>
      </c>
      <c r="F345" s="578"/>
      <c r="G345" s="569">
        <f aca="true" t="shared" si="172" ref="G345:Q345">SUM(G346:G348)</f>
        <v>0</v>
      </c>
      <c r="H345" s="586"/>
      <c r="I345" s="578">
        <f t="shared" si="172"/>
        <v>0</v>
      </c>
      <c r="J345" s="578"/>
      <c r="K345" s="569">
        <f t="shared" si="172"/>
        <v>0</v>
      </c>
      <c r="L345" s="569"/>
      <c r="M345" s="569">
        <f t="shared" si="172"/>
        <v>10.2</v>
      </c>
      <c r="N345" s="586"/>
      <c r="O345" s="569">
        <f t="shared" si="172"/>
        <v>0</v>
      </c>
      <c r="P345" s="569"/>
      <c r="Q345" s="569">
        <f t="shared" si="172"/>
        <v>0</v>
      </c>
      <c r="R345" s="569"/>
      <c r="S345" s="762" t="s">
        <v>857</v>
      </c>
      <c r="T345" s="783" t="s">
        <v>519</v>
      </c>
      <c r="U345" s="493">
        <f>SUM(U346:U348)</f>
        <v>0</v>
      </c>
      <c r="V345" s="493"/>
      <c r="W345" s="577">
        <f>SUM(W346:W348)</f>
        <v>1.1016</v>
      </c>
      <c r="X345" s="577"/>
      <c r="Y345" s="577">
        <f>SUM(Y346:Y348)</f>
        <v>1.1016</v>
      </c>
      <c r="Z345" s="577"/>
      <c r="AA345" s="577">
        <f>SUM(AA346:AA348)</f>
        <v>0</v>
      </c>
      <c r="AB345" s="577"/>
      <c r="AC345" s="577">
        <f>SUM(AC346:AC348)</f>
        <v>0</v>
      </c>
      <c r="AD345" s="700"/>
      <c r="AF345" s="520"/>
      <c r="AH345" s="512">
        <v>36012</v>
      </c>
      <c r="AJ345" s="513">
        <v>106.23302983559877</v>
      </c>
      <c r="AK345" s="514">
        <v>105.1948604625895</v>
      </c>
      <c r="AL345" s="513">
        <v>104.86113485125321</v>
      </c>
      <c r="AM345" s="512">
        <v>12</v>
      </c>
      <c r="AN345" s="512">
        <v>1000000</v>
      </c>
      <c r="AO345" s="512">
        <v>0.12</v>
      </c>
      <c r="AP345" s="523">
        <f>AE345*AH345*AJ345%*AM345/AN345*AO345</f>
        <v>0</v>
      </c>
      <c r="AQ345" s="523">
        <f t="shared" si="170"/>
        <v>0</v>
      </c>
      <c r="AR345" s="523">
        <f t="shared" si="171"/>
        <v>0</v>
      </c>
      <c r="AS345" s="512">
        <v>0.18</v>
      </c>
      <c r="AT345" s="523">
        <f t="shared" si="169"/>
        <v>1.1016</v>
      </c>
    </row>
    <row r="346" spans="1:46" ht="37.5" customHeight="1">
      <c r="A346" s="763"/>
      <c r="B346" s="742"/>
      <c r="C346" s="742"/>
      <c r="D346" s="491">
        <v>2013</v>
      </c>
      <c r="E346" s="578">
        <f>G346+I346+K346+M346+O346+Q346</f>
        <v>3.4</v>
      </c>
      <c r="F346" s="578">
        <v>8.716</v>
      </c>
      <c r="G346" s="569">
        <v>0</v>
      </c>
      <c r="H346" s="586"/>
      <c r="I346" s="578">
        <v>0</v>
      </c>
      <c r="J346" s="578"/>
      <c r="K346" s="569">
        <v>0</v>
      </c>
      <c r="L346" s="569"/>
      <c r="M346" s="492">
        <v>3.4</v>
      </c>
      <c r="N346" s="622">
        <v>8.716</v>
      </c>
      <c r="O346" s="569">
        <v>0</v>
      </c>
      <c r="P346" s="569"/>
      <c r="Q346" s="569">
        <v>0</v>
      </c>
      <c r="R346" s="569"/>
      <c r="S346" s="762"/>
      <c r="T346" s="784"/>
      <c r="U346" s="493">
        <f>AE346</f>
        <v>0</v>
      </c>
      <c r="V346" s="493"/>
      <c r="W346" s="577">
        <f>SUM(Y346:AC346)</f>
        <v>0.36719999999999997</v>
      </c>
      <c r="X346" s="577"/>
      <c r="Y346" s="577">
        <f>AT346</f>
        <v>0.36719999999999997</v>
      </c>
      <c r="Z346" s="577"/>
      <c r="AA346" s="577">
        <f>AR346</f>
        <v>0</v>
      </c>
      <c r="AB346" s="577"/>
      <c r="AC346" s="577">
        <f>AQ346</f>
        <v>0</v>
      </c>
      <c r="AD346" s="700"/>
      <c r="AE346" s="512">
        <f t="shared" si="164"/>
        <v>0</v>
      </c>
      <c r="AF346" s="520">
        <v>0</v>
      </c>
      <c r="AH346" s="512">
        <v>36012</v>
      </c>
      <c r="AJ346" s="513">
        <v>106.23302983559877</v>
      </c>
      <c r="AK346" s="514">
        <v>105.1948604625895</v>
      </c>
      <c r="AL346" s="513">
        <v>104.86113485125321</v>
      </c>
      <c r="AM346" s="512">
        <v>12</v>
      </c>
      <c r="AN346" s="512">
        <v>1000000</v>
      </c>
      <c r="AO346" s="512">
        <v>0.12</v>
      </c>
      <c r="AP346" s="523">
        <f>AE346*AH346*AJ346%*AM346/AN346*AO346</f>
        <v>0</v>
      </c>
      <c r="AQ346" s="523">
        <f t="shared" si="170"/>
        <v>0</v>
      </c>
      <c r="AR346" s="523">
        <f t="shared" si="171"/>
        <v>0</v>
      </c>
      <c r="AS346" s="512">
        <v>0.18</v>
      </c>
      <c r="AT346" s="523">
        <f t="shared" si="169"/>
        <v>0.36719999999999997</v>
      </c>
    </row>
    <row r="347" spans="1:46" ht="37.5" customHeight="1">
      <c r="A347" s="763"/>
      <c r="B347" s="742"/>
      <c r="C347" s="742"/>
      <c r="D347" s="491">
        <v>2014</v>
      </c>
      <c r="E347" s="578">
        <v>3.4</v>
      </c>
      <c r="F347" s="578">
        <v>5.51</v>
      </c>
      <c r="G347" s="569">
        <v>0</v>
      </c>
      <c r="H347" s="586"/>
      <c r="I347" s="578">
        <v>0</v>
      </c>
      <c r="J347" s="578"/>
      <c r="K347" s="569">
        <v>0</v>
      </c>
      <c r="L347" s="569"/>
      <c r="M347" s="492">
        <v>3.4</v>
      </c>
      <c r="N347" s="622">
        <v>5.51</v>
      </c>
      <c r="O347" s="569">
        <v>0</v>
      </c>
      <c r="P347" s="569"/>
      <c r="Q347" s="569">
        <v>0</v>
      </c>
      <c r="R347" s="569"/>
      <c r="S347" s="762"/>
      <c r="T347" s="784"/>
      <c r="U347" s="493">
        <f>AE347</f>
        <v>0</v>
      </c>
      <c r="V347" s="493"/>
      <c r="W347" s="577">
        <f>Y347+AA347+AC347</f>
        <v>0.36719999999999997</v>
      </c>
      <c r="X347" s="577">
        <v>1</v>
      </c>
      <c r="Y347" s="577">
        <f>AT347</f>
        <v>0.36719999999999997</v>
      </c>
      <c r="Z347" s="577">
        <v>1</v>
      </c>
      <c r="AA347" s="577">
        <f>AR347</f>
        <v>0</v>
      </c>
      <c r="AB347" s="577"/>
      <c r="AC347" s="577">
        <f>AQ347</f>
        <v>0</v>
      </c>
      <c r="AD347" s="700"/>
      <c r="AE347" s="512">
        <f t="shared" si="164"/>
        <v>0</v>
      </c>
      <c r="AF347" s="520">
        <v>0</v>
      </c>
      <c r="AH347" s="512">
        <v>36012</v>
      </c>
      <c r="AJ347" s="513">
        <v>106.23302983559877</v>
      </c>
      <c r="AK347" s="514">
        <v>105.1948604625895</v>
      </c>
      <c r="AL347" s="513">
        <v>104.86113485125321</v>
      </c>
      <c r="AM347" s="512">
        <v>12</v>
      </c>
      <c r="AN347" s="512">
        <v>1000000</v>
      </c>
      <c r="AO347" s="512">
        <v>0.12</v>
      </c>
      <c r="AP347" s="523">
        <f>AE347*AH347*AK347%*AM347/AN347*AO347</f>
        <v>0</v>
      </c>
      <c r="AQ347" s="523">
        <f t="shared" si="170"/>
        <v>0</v>
      </c>
      <c r="AR347" s="523">
        <f t="shared" si="171"/>
        <v>0</v>
      </c>
      <c r="AS347" s="512">
        <v>0.18</v>
      </c>
      <c r="AT347" s="523">
        <f t="shared" si="169"/>
        <v>0.36719999999999997</v>
      </c>
    </row>
    <row r="348" spans="1:46" s="644" customFormat="1" ht="37.5" customHeight="1">
      <c r="A348" s="763"/>
      <c r="B348" s="742"/>
      <c r="C348" s="742"/>
      <c r="D348" s="647">
        <v>2015</v>
      </c>
      <c r="E348" s="650">
        <v>3.4</v>
      </c>
      <c r="F348" s="650">
        <v>0.178</v>
      </c>
      <c r="G348" s="634">
        <v>0</v>
      </c>
      <c r="H348" s="667"/>
      <c r="I348" s="650">
        <v>0</v>
      </c>
      <c r="J348" s="650"/>
      <c r="K348" s="634">
        <v>0</v>
      </c>
      <c r="L348" s="634"/>
      <c r="M348" s="635">
        <v>3.4</v>
      </c>
      <c r="N348" s="661">
        <v>0.178</v>
      </c>
      <c r="O348" s="634">
        <v>0</v>
      </c>
      <c r="P348" s="634"/>
      <c r="Q348" s="634">
        <v>0</v>
      </c>
      <c r="R348" s="634"/>
      <c r="S348" s="762"/>
      <c r="T348" s="785"/>
      <c r="U348" s="637">
        <f>AE348</f>
        <v>0</v>
      </c>
      <c r="V348" s="637"/>
      <c r="W348" s="646">
        <f>SUM(Y348:AC348)</f>
        <v>0.36719999999999997</v>
      </c>
      <c r="X348" s="646">
        <v>0.03</v>
      </c>
      <c r="Y348" s="646">
        <f>AT348</f>
        <v>0.36719999999999997</v>
      </c>
      <c r="Z348" s="646"/>
      <c r="AA348" s="646">
        <f>AR348</f>
        <v>0</v>
      </c>
      <c r="AB348" s="646"/>
      <c r="AC348" s="646">
        <f>AQ348</f>
        <v>0</v>
      </c>
      <c r="AD348" s="701"/>
      <c r="AE348" s="638">
        <f t="shared" si="164"/>
        <v>0</v>
      </c>
      <c r="AF348" s="639">
        <v>0</v>
      </c>
      <c r="AG348" s="638"/>
      <c r="AH348" s="638">
        <v>36012</v>
      </c>
      <c r="AI348" s="638"/>
      <c r="AJ348" s="641">
        <v>106.23302983559877</v>
      </c>
      <c r="AK348" s="642">
        <v>105.1948604625895</v>
      </c>
      <c r="AL348" s="641">
        <v>104.86113485125321</v>
      </c>
      <c r="AM348" s="638">
        <v>12</v>
      </c>
      <c r="AN348" s="638">
        <v>1000000</v>
      </c>
      <c r="AO348" s="638">
        <v>0.12</v>
      </c>
      <c r="AP348" s="643">
        <f>AE348*AH348*AL348%*AM348/AN348*AO348</f>
        <v>0</v>
      </c>
      <c r="AQ348" s="643">
        <f t="shared" si="170"/>
        <v>0</v>
      </c>
      <c r="AR348" s="643">
        <f t="shared" si="171"/>
        <v>0</v>
      </c>
      <c r="AS348" s="638">
        <v>0.18</v>
      </c>
      <c r="AT348" s="643">
        <f t="shared" si="169"/>
        <v>0.36719999999999997</v>
      </c>
    </row>
    <row r="349" spans="1:46" ht="18" customHeight="1">
      <c r="A349" s="763">
        <v>11</v>
      </c>
      <c r="B349" s="742" t="s">
        <v>691</v>
      </c>
      <c r="C349" s="742" t="s">
        <v>689</v>
      </c>
      <c r="D349" s="568" t="s">
        <v>273</v>
      </c>
      <c r="E349" s="578">
        <f t="shared" si="167"/>
        <v>97.5</v>
      </c>
      <c r="F349" s="578"/>
      <c r="G349" s="569">
        <f aca="true" t="shared" si="173" ref="G349:Q349">SUM(G350:G352)</f>
        <v>0</v>
      </c>
      <c r="H349" s="586"/>
      <c r="I349" s="578">
        <f t="shared" si="173"/>
        <v>0</v>
      </c>
      <c r="J349" s="578"/>
      <c r="K349" s="569">
        <f t="shared" si="173"/>
        <v>0</v>
      </c>
      <c r="L349" s="569"/>
      <c r="M349" s="569">
        <f t="shared" si="173"/>
        <v>97.5</v>
      </c>
      <c r="N349" s="586"/>
      <c r="O349" s="569">
        <f t="shared" si="173"/>
        <v>0</v>
      </c>
      <c r="P349" s="569"/>
      <c r="Q349" s="569">
        <f t="shared" si="173"/>
        <v>0</v>
      </c>
      <c r="R349" s="569"/>
      <c r="S349" s="762" t="s">
        <v>857</v>
      </c>
      <c r="T349" s="762" t="s">
        <v>520</v>
      </c>
      <c r="U349" s="493">
        <f>SUM(U350:U352)</f>
        <v>0</v>
      </c>
      <c r="V349" s="493"/>
      <c r="W349" s="577">
        <f>SUM(W350:W352)</f>
        <v>10.53</v>
      </c>
      <c r="X349" s="577"/>
      <c r="Y349" s="577">
        <f>SUM(Y350:Y352)</f>
        <v>10.53</v>
      </c>
      <c r="Z349" s="577"/>
      <c r="AA349" s="577">
        <f>SUM(AA350:AA352)</f>
        <v>0</v>
      </c>
      <c r="AB349" s="577"/>
      <c r="AC349" s="577">
        <f>SUM(AC350:AC352)</f>
        <v>0</v>
      </c>
      <c r="AD349" s="700"/>
      <c r="AF349" s="520"/>
      <c r="AG349" s="520"/>
      <c r="AH349" s="512">
        <v>36012</v>
      </c>
      <c r="AJ349" s="513">
        <v>106.23302983559877</v>
      </c>
      <c r="AK349" s="514">
        <v>105.1948604625895</v>
      </c>
      <c r="AL349" s="513">
        <v>104.86113485125321</v>
      </c>
      <c r="AM349" s="512">
        <v>12</v>
      </c>
      <c r="AN349" s="512">
        <v>1000000</v>
      </c>
      <c r="AO349" s="512">
        <v>0.12</v>
      </c>
      <c r="AP349" s="523">
        <f>AE349*AH349*AJ349%*AM349/AN349*AO349</f>
        <v>0</v>
      </c>
      <c r="AQ349" s="523">
        <f t="shared" si="170"/>
        <v>0</v>
      </c>
      <c r="AR349" s="523">
        <f t="shared" si="171"/>
        <v>0</v>
      </c>
      <c r="AS349" s="512">
        <v>0.18</v>
      </c>
      <c r="AT349" s="523">
        <f t="shared" si="169"/>
        <v>10.53</v>
      </c>
    </row>
    <row r="350" spans="1:46" ht="18" customHeight="1">
      <c r="A350" s="763"/>
      <c r="B350" s="742"/>
      <c r="C350" s="742"/>
      <c r="D350" s="491">
        <v>2013</v>
      </c>
      <c r="E350" s="578">
        <f>K350+M350+O350+Q350</f>
        <v>32.5</v>
      </c>
      <c r="F350" s="578">
        <v>1.125</v>
      </c>
      <c r="G350" s="569">
        <v>0</v>
      </c>
      <c r="H350" s="586"/>
      <c r="I350" s="578">
        <v>0</v>
      </c>
      <c r="J350" s="578"/>
      <c r="K350" s="569">
        <v>0</v>
      </c>
      <c r="L350" s="569"/>
      <c r="M350" s="492">
        <v>32.5</v>
      </c>
      <c r="N350" s="586">
        <v>1.125</v>
      </c>
      <c r="O350" s="569">
        <v>0</v>
      </c>
      <c r="P350" s="569"/>
      <c r="Q350" s="569">
        <v>0</v>
      </c>
      <c r="R350" s="569"/>
      <c r="S350" s="762"/>
      <c r="T350" s="762"/>
      <c r="U350" s="493">
        <f>AE350</f>
        <v>0</v>
      </c>
      <c r="V350" s="493"/>
      <c r="W350" s="577">
        <f>SUM(Y350:AC350)</f>
        <v>3.51</v>
      </c>
      <c r="X350" s="577"/>
      <c r="Y350" s="577">
        <f>AT350</f>
        <v>3.51</v>
      </c>
      <c r="Z350" s="577"/>
      <c r="AA350" s="577">
        <f>AR350</f>
        <v>0</v>
      </c>
      <c r="AB350" s="577"/>
      <c r="AC350" s="577">
        <f>AQ350</f>
        <v>0</v>
      </c>
      <c r="AD350" s="700"/>
      <c r="AE350" s="512">
        <f t="shared" si="164"/>
        <v>0</v>
      </c>
      <c r="AF350" s="520">
        <v>0</v>
      </c>
      <c r="AH350" s="512">
        <v>36012</v>
      </c>
      <c r="AJ350" s="513">
        <v>106.23302983559877</v>
      </c>
      <c r="AK350" s="514">
        <v>105.1948604625895</v>
      </c>
      <c r="AL350" s="513">
        <v>104.86113485125321</v>
      </c>
      <c r="AM350" s="512">
        <v>12</v>
      </c>
      <c r="AN350" s="512">
        <v>1000000</v>
      </c>
      <c r="AO350" s="512">
        <v>0.12</v>
      </c>
      <c r="AP350" s="523">
        <f>AE350*AH350*AJ350%*AM350/AN350*AO350</f>
        <v>0</v>
      </c>
      <c r="AQ350" s="523">
        <f t="shared" si="170"/>
        <v>0</v>
      </c>
      <c r="AR350" s="523">
        <f t="shared" si="171"/>
        <v>0</v>
      </c>
      <c r="AS350" s="512">
        <v>0.18</v>
      </c>
      <c r="AT350" s="523">
        <f t="shared" si="169"/>
        <v>3.51</v>
      </c>
    </row>
    <row r="351" spans="1:46" ht="18" customHeight="1">
      <c r="A351" s="763"/>
      <c r="B351" s="742"/>
      <c r="C351" s="742"/>
      <c r="D351" s="491">
        <v>2014</v>
      </c>
      <c r="E351" s="578">
        <f t="shared" si="167"/>
        <v>32.522</v>
      </c>
      <c r="F351" s="578">
        <v>0.022</v>
      </c>
      <c r="G351" s="569">
        <v>0</v>
      </c>
      <c r="H351" s="586"/>
      <c r="I351" s="578">
        <v>0</v>
      </c>
      <c r="J351" s="578"/>
      <c r="K351" s="569">
        <v>0</v>
      </c>
      <c r="L351" s="569"/>
      <c r="M351" s="492">
        <v>32.5</v>
      </c>
      <c r="N351" s="622">
        <v>0.022</v>
      </c>
      <c r="O351" s="569">
        <v>0</v>
      </c>
      <c r="P351" s="569"/>
      <c r="Q351" s="569">
        <v>0</v>
      </c>
      <c r="R351" s="569"/>
      <c r="S351" s="762"/>
      <c r="T351" s="762"/>
      <c r="U351" s="493">
        <f>AE351</f>
        <v>0</v>
      </c>
      <c r="V351" s="493"/>
      <c r="W351" s="577">
        <f>SUM(Y351:AC351)</f>
        <v>3.51</v>
      </c>
      <c r="X351" s="577"/>
      <c r="Y351" s="577">
        <v>3.51</v>
      </c>
      <c r="Z351" s="577"/>
      <c r="AA351" s="577">
        <f>AR351</f>
        <v>0</v>
      </c>
      <c r="AB351" s="577"/>
      <c r="AC351" s="577">
        <f>AQ351</f>
        <v>0</v>
      </c>
      <c r="AD351" s="700"/>
      <c r="AE351" s="512">
        <f t="shared" si="164"/>
        <v>0</v>
      </c>
      <c r="AF351" s="520">
        <v>0</v>
      </c>
      <c r="AH351" s="512">
        <v>36012</v>
      </c>
      <c r="AJ351" s="513">
        <v>106.23302983559877</v>
      </c>
      <c r="AK351" s="514">
        <v>105.1948604625895</v>
      </c>
      <c r="AL351" s="513">
        <v>104.86113485125321</v>
      </c>
      <c r="AM351" s="512">
        <v>12</v>
      </c>
      <c r="AN351" s="512">
        <v>1000000</v>
      </c>
      <c r="AO351" s="512">
        <v>0.12</v>
      </c>
      <c r="AP351" s="523">
        <f>AE351*AH351*AK351%*AM351/AN351*AO351</f>
        <v>0</v>
      </c>
      <c r="AQ351" s="523">
        <f t="shared" si="170"/>
        <v>0</v>
      </c>
      <c r="AR351" s="523">
        <f t="shared" si="171"/>
        <v>0</v>
      </c>
      <c r="AS351" s="512">
        <v>0.18</v>
      </c>
      <c r="AT351" s="523">
        <f t="shared" si="169"/>
        <v>3.5123759999999993</v>
      </c>
    </row>
    <row r="352" spans="1:46" ht="18" customHeight="1">
      <c r="A352" s="763"/>
      <c r="B352" s="742"/>
      <c r="C352" s="742"/>
      <c r="D352" s="491">
        <v>2015</v>
      </c>
      <c r="E352" s="578">
        <f t="shared" si="167"/>
        <v>32.5</v>
      </c>
      <c r="F352" s="578">
        <v>0</v>
      </c>
      <c r="G352" s="569">
        <v>0</v>
      </c>
      <c r="H352" s="586"/>
      <c r="I352" s="578">
        <v>0</v>
      </c>
      <c r="J352" s="578"/>
      <c r="K352" s="569">
        <v>0</v>
      </c>
      <c r="L352" s="569"/>
      <c r="M352" s="492">
        <v>32.5</v>
      </c>
      <c r="N352" s="622"/>
      <c r="O352" s="569">
        <v>0</v>
      </c>
      <c r="P352" s="569"/>
      <c r="Q352" s="569">
        <v>0</v>
      </c>
      <c r="R352" s="569"/>
      <c r="S352" s="762"/>
      <c r="T352" s="762"/>
      <c r="U352" s="493">
        <f>AE352</f>
        <v>0</v>
      </c>
      <c r="V352" s="493"/>
      <c r="W352" s="577">
        <f>SUM(Y352:AC352)</f>
        <v>3.51</v>
      </c>
      <c r="X352" s="577"/>
      <c r="Y352" s="577">
        <f>AT352</f>
        <v>3.51</v>
      </c>
      <c r="Z352" s="577"/>
      <c r="AA352" s="577">
        <f>AR352</f>
        <v>0</v>
      </c>
      <c r="AB352" s="577"/>
      <c r="AC352" s="577">
        <f>AQ352</f>
        <v>0</v>
      </c>
      <c r="AD352" s="700"/>
      <c r="AE352" s="512">
        <f t="shared" si="164"/>
        <v>0</v>
      </c>
      <c r="AF352" s="520">
        <v>0</v>
      </c>
      <c r="AH352" s="512">
        <v>36012</v>
      </c>
      <c r="AJ352" s="513">
        <v>106.23302983559877</v>
      </c>
      <c r="AK352" s="514">
        <v>105.1948604625895</v>
      </c>
      <c r="AL352" s="513">
        <v>104.86113485125321</v>
      </c>
      <c r="AM352" s="512">
        <v>12</v>
      </c>
      <c r="AN352" s="512">
        <v>1000000</v>
      </c>
      <c r="AO352" s="512">
        <v>0.12</v>
      </c>
      <c r="AP352" s="523">
        <f>AE352*AH352*AL352%*AM352/AN352*AO352</f>
        <v>0</v>
      </c>
      <c r="AQ352" s="523">
        <f t="shared" si="170"/>
        <v>0</v>
      </c>
      <c r="AR352" s="523">
        <f t="shared" si="171"/>
        <v>0</v>
      </c>
      <c r="AS352" s="512">
        <v>0.18</v>
      </c>
      <c r="AT352" s="523">
        <f t="shared" si="169"/>
        <v>3.51</v>
      </c>
    </row>
    <row r="353" spans="1:46" ht="30" customHeight="1">
      <c r="A353" s="763">
        <v>12</v>
      </c>
      <c r="B353" s="742" t="s">
        <v>858</v>
      </c>
      <c r="C353" s="742" t="s">
        <v>336</v>
      </c>
      <c r="D353" s="568" t="s">
        <v>273</v>
      </c>
      <c r="E353" s="578">
        <f t="shared" si="167"/>
        <v>7.5</v>
      </c>
      <c r="F353" s="578"/>
      <c r="G353" s="569">
        <f aca="true" t="shared" si="174" ref="G353:Q353">SUM(G354:G356)</f>
        <v>7.5</v>
      </c>
      <c r="H353" s="586"/>
      <c r="I353" s="578">
        <f t="shared" si="174"/>
        <v>0</v>
      </c>
      <c r="J353" s="578"/>
      <c r="K353" s="569">
        <f t="shared" si="174"/>
        <v>0</v>
      </c>
      <c r="L353" s="569"/>
      <c r="M353" s="569">
        <f t="shared" si="174"/>
        <v>0</v>
      </c>
      <c r="N353" s="586"/>
      <c r="O353" s="569">
        <f t="shared" si="174"/>
        <v>0</v>
      </c>
      <c r="P353" s="569"/>
      <c r="Q353" s="569">
        <f t="shared" si="174"/>
        <v>0</v>
      </c>
      <c r="R353" s="569"/>
      <c r="S353" s="762" t="s">
        <v>584</v>
      </c>
      <c r="T353" s="762" t="s">
        <v>692</v>
      </c>
      <c r="U353" s="493">
        <v>0</v>
      </c>
      <c r="V353" s="493"/>
      <c r="W353" s="577">
        <v>0</v>
      </c>
      <c r="X353" s="577"/>
      <c r="Y353" s="577">
        <f>SUM(Y354:Y356)</f>
        <v>0.8099999999999999</v>
      </c>
      <c r="Z353" s="577"/>
      <c r="AA353" s="577">
        <f>SUM(AA354:AA356)</f>
        <v>0</v>
      </c>
      <c r="AB353" s="577"/>
      <c r="AC353" s="577">
        <f>SUM(AC354:AC356)</f>
        <v>0</v>
      </c>
      <c r="AD353" s="700"/>
      <c r="AF353" s="520"/>
      <c r="AG353" s="520"/>
      <c r="AH353" s="512">
        <v>36012</v>
      </c>
      <c r="AJ353" s="513">
        <v>106.23302983559877</v>
      </c>
      <c r="AK353" s="514">
        <v>105.1948604625895</v>
      </c>
      <c r="AL353" s="513">
        <v>104.86113485125321</v>
      </c>
      <c r="AM353" s="512">
        <v>12</v>
      </c>
      <c r="AN353" s="512">
        <v>1000000</v>
      </c>
      <c r="AO353" s="512">
        <v>0.12</v>
      </c>
      <c r="AP353" s="523">
        <f>AE353*AH353*AJ353%*AM353/AN353*AO353</f>
        <v>0</v>
      </c>
      <c r="AQ353" s="523">
        <f t="shared" si="170"/>
        <v>0</v>
      </c>
      <c r="AR353" s="523">
        <f t="shared" si="171"/>
        <v>0</v>
      </c>
      <c r="AS353" s="512">
        <v>0.18</v>
      </c>
      <c r="AT353" s="523">
        <f t="shared" si="169"/>
        <v>0.8099999999999999</v>
      </c>
    </row>
    <row r="354" spans="1:46" ht="30" customHeight="1">
      <c r="A354" s="763"/>
      <c r="B354" s="742"/>
      <c r="C354" s="742"/>
      <c r="D354" s="491">
        <v>2013</v>
      </c>
      <c r="E354" s="578">
        <v>0</v>
      </c>
      <c r="F354" s="578"/>
      <c r="G354" s="569">
        <v>0</v>
      </c>
      <c r="H354" s="586"/>
      <c r="I354" s="578">
        <v>0</v>
      </c>
      <c r="J354" s="578"/>
      <c r="K354" s="569">
        <v>0</v>
      </c>
      <c r="L354" s="569"/>
      <c r="M354" s="492">
        <v>0</v>
      </c>
      <c r="N354" s="622"/>
      <c r="O354" s="569">
        <v>0</v>
      </c>
      <c r="P354" s="569"/>
      <c r="Q354" s="569">
        <v>0</v>
      </c>
      <c r="R354" s="569"/>
      <c r="S354" s="762"/>
      <c r="T354" s="762"/>
      <c r="U354" s="493">
        <f>AE354</f>
        <v>0</v>
      </c>
      <c r="V354" s="493"/>
      <c r="W354" s="577">
        <v>0</v>
      </c>
      <c r="X354" s="577"/>
      <c r="Y354" s="577">
        <f>AT354</f>
        <v>0</v>
      </c>
      <c r="Z354" s="577"/>
      <c r="AA354" s="577">
        <f>AR354</f>
        <v>0</v>
      </c>
      <c r="AB354" s="577"/>
      <c r="AC354" s="577">
        <f>AQ354</f>
        <v>0</v>
      </c>
      <c r="AD354" s="700"/>
      <c r="AE354" s="512">
        <f t="shared" si="164"/>
        <v>0</v>
      </c>
      <c r="AF354" s="520">
        <v>0</v>
      </c>
      <c r="AH354" s="512">
        <v>36012</v>
      </c>
      <c r="AJ354" s="513">
        <v>106.23302983559877</v>
      </c>
      <c r="AK354" s="514">
        <v>105.1948604625895</v>
      </c>
      <c r="AL354" s="513">
        <v>104.86113485125321</v>
      </c>
      <c r="AM354" s="512">
        <v>12</v>
      </c>
      <c r="AN354" s="512">
        <v>1000000</v>
      </c>
      <c r="AO354" s="512">
        <v>0.12</v>
      </c>
      <c r="AP354" s="523">
        <f>AE354*AH354*AJ354%*AM354/AN354*AO354</f>
        <v>0</v>
      </c>
      <c r="AQ354" s="523">
        <f t="shared" si="170"/>
        <v>0</v>
      </c>
      <c r="AR354" s="523">
        <f t="shared" si="171"/>
        <v>0</v>
      </c>
      <c r="AS354" s="512">
        <v>0.18</v>
      </c>
      <c r="AT354" s="523">
        <f t="shared" si="169"/>
        <v>0</v>
      </c>
    </row>
    <row r="355" spans="1:46" ht="30" customHeight="1">
      <c r="A355" s="763"/>
      <c r="B355" s="742"/>
      <c r="C355" s="742"/>
      <c r="D355" s="491">
        <v>2014</v>
      </c>
      <c r="E355" s="578">
        <v>7.5</v>
      </c>
      <c r="F355" s="578"/>
      <c r="G355" s="569">
        <v>7.5</v>
      </c>
      <c r="H355" s="586"/>
      <c r="I355" s="578">
        <v>0</v>
      </c>
      <c r="J355" s="578"/>
      <c r="K355" s="569">
        <v>0</v>
      </c>
      <c r="L355" s="569"/>
      <c r="M355" s="492">
        <v>0</v>
      </c>
      <c r="N355" s="622"/>
      <c r="O355" s="569">
        <v>0</v>
      </c>
      <c r="P355" s="569"/>
      <c r="Q355" s="569">
        <v>0</v>
      </c>
      <c r="R355" s="569"/>
      <c r="S355" s="762"/>
      <c r="T355" s="762"/>
      <c r="U355" s="493">
        <f>AE355</f>
        <v>0</v>
      </c>
      <c r="V355" s="493"/>
      <c r="W355" s="577">
        <v>0.81</v>
      </c>
      <c r="X355" s="577"/>
      <c r="Y355" s="577">
        <f>AT355</f>
        <v>0.8099999999999999</v>
      </c>
      <c r="Z355" s="577"/>
      <c r="AA355" s="577">
        <f>AR355</f>
        <v>0</v>
      </c>
      <c r="AB355" s="577"/>
      <c r="AC355" s="577">
        <f>AQ355</f>
        <v>0</v>
      </c>
      <c r="AD355" s="700"/>
      <c r="AE355" s="512">
        <f t="shared" si="164"/>
        <v>0</v>
      </c>
      <c r="AF355" s="520">
        <v>0</v>
      </c>
      <c r="AH355" s="512">
        <v>36012</v>
      </c>
      <c r="AJ355" s="513">
        <v>106.23302983559877</v>
      </c>
      <c r="AK355" s="514">
        <v>105.1948604625895</v>
      </c>
      <c r="AL355" s="513">
        <v>104.86113485125321</v>
      </c>
      <c r="AM355" s="512">
        <v>12</v>
      </c>
      <c r="AN355" s="512">
        <v>1000000</v>
      </c>
      <c r="AO355" s="512">
        <v>0.12</v>
      </c>
      <c r="AP355" s="523">
        <f>AE355*AH355*AK355%*AM355/AN355*AO355</f>
        <v>0</v>
      </c>
      <c r="AQ355" s="523">
        <f t="shared" si="170"/>
        <v>0</v>
      </c>
      <c r="AR355" s="523">
        <f t="shared" si="171"/>
        <v>0</v>
      </c>
      <c r="AS355" s="512">
        <v>0.18</v>
      </c>
      <c r="AT355" s="523">
        <f t="shared" si="169"/>
        <v>0.8099999999999999</v>
      </c>
    </row>
    <row r="356" spans="1:46" ht="48" customHeight="1">
      <c r="A356" s="763"/>
      <c r="B356" s="742"/>
      <c r="C356" s="742"/>
      <c r="D356" s="491">
        <v>2015</v>
      </c>
      <c r="E356" s="578">
        <v>0</v>
      </c>
      <c r="F356" s="578"/>
      <c r="G356" s="569">
        <v>0</v>
      </c>
      <c r="H356" s="586"/>
      <c r="I356" s="578">
        <v>0</v>
      </c>
      <c r="J356" s="578"/>
      <c r="K356" s="569">
        <v>0</v>
      </c>
      <c r="L356" s="569"/>
      <c r="M356" s="492">
        <v>0</v>
      </c>
      <c r="N356" s="622"/>
      <c r="O356" s="569">
        <v>0</v>
      </c>
      <c r="P356" s="569"/>
      <c r="Q356" s="569">
        <v>0</v>
      </c>
      <c r="R356" s="569"/>
      <c r="S356" s="762"/>
      <c r="T356" s="762"/>
      <c r="U356" s="493">
        <f>AE356</f>
        <v>0</v>
      </c>
      <c r="V356" s="493"/>
      <c r="W356" s="577">
        <v>0</v>
      </c>
      <c r="X356" s="577"/>
      <c r="Y356" s="577">
        <f>AT356</f>
        <v>0</v>
      </c>
      <c r="Z356" s="577"/>
      <c r="AA356" s="577">
        <f>AR356</f>
        <v>0</v>
      </c>
      <c r="AB356" s="577"/>
      <c r="AC356" s="577">
        <f>AQ356</f>
        <v>0</v>
      </c>
      <c r="AD356" s="700"/>
      <c r="AE356" s="512">
        <f t="shared" si="164"/>
        <v>0</v>
      </c>
      <c r="AF356" s="520">
        <v>0</v>
      </c>
      <c r="AH356" s="512">
        <v>36012</v>
      </c>
      <c r="AJ356" s="513">
        <v>106.23302983559877</v>
      </c>
      <c r="AK356" s="514">
        <v>105.1948604625895</v>
      </c>
      <c r="AL356" s="513">
        <v>104.86113485125321</v>
      </c>
      <c r="AM356" s="512">
        <v>12</v>
      </c>
      <c r="AN356" s="512">
        <v>1000000</v>
      </c>
      <c r="AO356" s="512">
        <v>0.12</v>
      </c>
      <c r="AP356" s="523">
        <f>AE356*AH356*AL356%*AM356/AN356*AO356</f>
        <v>0</v>
      </c>
      <c r="AQ356" s="523">
        <f t="shared" si="170"/>
        <v>0</v>
      </c>
      <c r="AR356" s="523">
        <f t="shared" si="171"/>
        <v>0</v>
      </c>
      <c r="AS356" s="512">
        <v>0.18</v>
      </c>
      <c r="AT356" s="523">
        <f t="shared" si="169"/>
        <v>0</v>
      </c>
    </row>
    <row r="357" spans="1:46" ht="30" customHeight="1">
      <c r="A357" s="763">
        <v>13</v>
      </c>
      <c r="B357" s="742" t="s">
        <v>693</v>
      </c>
      <c r="C357" s="742" t="s">
        <v>336</v>
      </c>
      <c r="D357" s="568" t="s">
        <v>273</v>
      </c>
      <c r="E357" s="578">
        <f>SUM(G357:Q357)</f>
        <v>88.8</v>
      </c>
      <c r="F357" s="578"/>
      <c r="G357" s="569">
        <f aca="true" t="shared" si="175" ref="G357:Q357">SUM(G358:G360)</f>
        <v>88.8</v>
      </c>
      <c r="H357" s="586"/>
      <c r="I357" s="578">
        <f t="shared" si="175"/>
        <v>0</v>
      </c>
      <c r="J357" s="578"/>
      <c r="K357" s="569">
        <f t="shared" si="175"/>
        <v>0</v>
      </c>
      <c r="L357" s="569"/>
      <c r="M357" s="569">
        <f t="shared" si="175"/>
        <v>0</v>
      </c>
      <c r="N357" s="586"/>
      <c r="O357" s="569">
        <f t="shared" si="175"/>
        <v>0</v>
      </c>
      <c r="P357" s="569"/>
      <c r="Q357" s="569">
        <f t="shared" si="175"/>
        <v>0</v>
      </c>
      <c r="R357" s="569"/>
      <c r="S357" s="762" t="s">
        <v>584</v>
      </c>
      <c r="T357" s="762" t="s">
        <v>314</v>
      </c>
      <c r="U357" s="493">
        <f>SUM(U358:U360)</f>
        <v>30</v>
      </c>
      <c r="V357" s="493"/>
      <c r="W357" s="577">
        <v>0</v>
      </c>
      <c r="X357" s="577"/>
      <c r="Y357" s="577">
        <f>SUM(Y358:Y360)</f>
        <v>9.590399999999999</v>
      </c>
      <c r="Z357" s="577"/>
      <c r="AA357" s="577">
        <f>SUM(AA358:AA360)</f>
        <v>0.8900845414654011</v>
      </c>
      <c r="AB357" s="577"/>
      <c r="AC357" s="577">
        <f>SUM(AC358:AC360)</f>
        <v>0.7518349225917857</v>
      </c>
      <c r="AD357" s="700"/>
      <c r="AE357" s="525"/>
      <c r="AF357" s="520"/>
      <c r="AG357" s="520"/>
      <c r="AH357" s="512">
        <v>36012</v>
      </c>
      <c r="AJ357" s="513">
        <v>106.23302983559877</v>
      </c>
      <c r="AK357" s="514">
        <v>105.1948604625895</v>
      </c>
      <c r="AL357" s="513">
        <v>104.86113485125321</v>
      </c>
      <c r="AM357" s="512">
        <v>12</v>
      </c>
      <c r="AN357" s="512">
        <v>1000000</v>
      </c>
      <c r="AO357" s="512">
        <v>0.12</v>
      </c>
      <c r="AP357" s="523">
        <f>AE357*AH357*AJ357%*AM357/AN357*AO357</f>
        <v>0</v>
      </c>
      <c r="AQ357" s="523">
        <f t="shared" si="170"/>
        <v>0</v>
      </c>
      <c r="AR357" s="523">
        <f t="shared" si="171"/>
        <v>0</v>
      </c>
      <c r="AS357" s="512">
        <v>0.18</v>
      </c>
      <c r="AT357" s="523">
        <f t="shared" si="169"/>
        <v>9.590399999999999</v>
      </c>
    </row>
    <row r="358" spans="1:46" ht="30" customHeight="1">
      <c r="A358" s="763"/>
      <c r="B358" s="742"/>
      <c r="C358" s="742"/>
      <c r="D358" s="491">
        <v>2013</v>
      </c>
      <c r="E358" s="578">
        <v>35.9</v>
      </c>
      <c r="F358" s="578">
        <v>35.894</v>
      </c>
      <c r="G358" s="569">
        <v>35.9</v>
      </c>
      <c r="H358" s="586">
        <v>35.894</v>
      </c>
      <c r="I358" s="578">
        <v>0</v>
      </c>
      <c r="J358" s="578"/>
      <c r="K358" s="569">
        <v>0</v>
      </c>
      <c r="L358" s="569"/>
      <c r="M358" s="492">
        <v>0</v>
      </c>
      <c r="N358" s="622"/>
      <c r="O358" s="569">
        <v>0</v>
      </c>
      <c r="P358" s="569"/>
      <c r="Q358" s="569">
        <v>0</v>
      </c>
      <c r="R358" s="569"/>
      <c r="S358" s="762"/>
      <c r="T358" s="762"/>
      <c r="U358" s="493">
        <f>AE358</f>
        <v>10</v>
      </c>
      <c r="V358" s="493" t="s">
        <v>799</v>
      </c>
      <c r="W358" s="577">
        <v>0</v>
      </c>
      <c r="X358" s="577">
        <f>Z358+AB358+AD358</f>
        <v>0.179</v>
      </c>
      <c r="Y358" s="577">
        <f>AT358</f>
        <v>3.8771999999999998</v>
      </c>
      <c r="Z358" s="577"/>
      <c r="AA358" s="577">
        <f>AR358</f>
        <v>0.2986405033198029</v>
      </c>
      <c r="AB358" s="577">
        <f>0.093</f>
        <v>0.093</v>
      </c>
      <c r="AC358" s="577">
        <f>AQ358</f>
        <v>0.25225509402349705</v>
      </c>
      <c r="AD358" s="707">
        <f>0.007+0.079</f>
        <v>0.08600000000000001</v>
      </c>
      <c r="AE358" s="512">
        <f t="shared" si="164"/>
        <v>10</v>
      </c>
      <c r="AF358" s="520">
        <v>0</v>
      </c>
      <c r="AG358" s="512">
        <v>10</v>
      </c>
      <c r="AH358" s="512">
        <v>36012</v>
      </c>
      <c r="AJ358" s="513">
        <v>106.23302983559877</v>
      </c>
      <c r="AK358" s="514">
        <v>105.1948604625895</v>
      </c>
      <c r="AL358" s="513">
        <v>104.86113485125321</v>
      </c>
      <c r="AM358" s="512">
        <v>12</v>
      </c>
      <c r="AN358" s="512">
        <v>1000000</v>
      </c>
      <c r="AO358" s="512">
        <v>0.12</v>
      </c>
      <c r="AP358" s="523">
        <f>AE358*AH358*AJ358%*AM358/AN358*AO358</f>
        <v>0.5508955973433</v>
      </c>
      <c r="AQ358" s="523">
        <f t="shared" si="170"/>
        <v>0.25225509402349705</v>
      </c>
      <c r="AR358" s="523">
        <f t="shared" si="171"/>
        <v>0.2986405033198029</v>
      </c>
      <c r="AS358" s="512">
        <v>0.18</v>
      </c>
      <c r="AT358" s="523">
        <f t="shared" si="169"/>
        <v>3.8771999999999998</v>
      </c>
    </row>
    <row r="359" spans="1:46" ht="30" customHeight="1">
      <c r="A359" s="763"/>
      <c r="B359" s="742"/>
      <c r="C359" s="742"/>
      <c r="D359" s="491">
        <v>2014</v>
      </c>
      <c r="E359" s="578">
        <v>52.9</v>
      </c>
      <c r="F359" s="578">
        <v>21.2</v>
      </c>
      <c r="G359" s="569">
        <v>52.9</v>
      </c>
      <c r="H359" s="586">
        <v>21.2</v>
      </c>
      <c r="I359" s="578">
        <v>0</v>
      </c>
      <c r="J359" s="578"/>
      <c r="K359" s="569">
        <v>0</v>
      </c>
      <c r="L359" s="569"/>
      <c r="M359" s="492">
        <v>0</v>
      </c>
      <c r="N359" s="622"/>
      <c r="O359" s="569">
        <v>0</v>
      </c>
      <c r="P359" s="569"/>
      <c r="Q359" s="569">
        <v>0</v>
      </c>
      <c r="R359" s="569"/>
      <c r="S359" s="762"/>
      <c r="T359" s="762"/>
      <c r="U359" s="493">
        <f>AE359</f>
        <v>20</v>
      </c>
      <c r="V359" s="493"/>
      <c r="W359" s="577">
        <v>0</v>
      </c>
      <c r="X359" s="577"/>
      <c r="Y359" s="577">
        <f>AT359</f>
        <v>5.7132</v>
      </c>
      <c r="Z359" s="577"/>
      <c r="AA359" s="577">
        <f>AR359</f>
        <v>0.5914440381455981</v>
      </c>
      <c r="AB359" s="577"/>
      <c r="AC359" s="577">
        <f>AQ359</f>
        <v>0.4995798285682887</v>
      </c>
      <c r="AD359" s="700"/>
      <c r="AE359" s="512">
        <f t="shared" si="164"/>
        <v>20</v>
      </c>
      <c r="AF359" s="520">
        <v>0</v>
      </c>
      <c r="AG359" s="512">
        <v>20</v>
      </c>
      <c r="AH359" s="512">
        <v>36012</v>
      </c>
      <c r="AJ359" s="513">
        <v>106.23302983559877</v>
      </c>
      <c r="AK359" s="514">
        <v>105.1948604625895</v>
      </c>
      <c r="AL359" s="513">
        <v>104.86113485125321</v>
      </c>
      <c r="AM359" s="512">
        <v>12</v>
      </c>
      <c r="AN359" s="512">
        <v>1000000</v>
      </c>
      <c r="AO359" s="512">
        <v>0.12</v>
      </c>
      <c r="AP359" s="523">
        <f>AE359*AH359*AK359%*AM359/AN359*AO359</f>
        <v>1.0910238667138867</v>
      </c>
      <c r="AQ359" s="523">
        <f t="shared" si="170"/>
        <v>0.4995798285682887</v>
      </c>
      <c r="AR359" s="523">
        <f t="shared" si="171"/>
        <v>0.5914440381455981</v>
      </c>
      <c r="AS359" s="512">
        <v>0.18</v>
      </c>
      <c r="AT359" s="523">
        <f t="shared" si="169"/>
        <v>5.7132</v>
      </c>
    </row>
    <row r="360" spans="1:46" ht="48.75" customHeight="1">
      <c r="A360" s="763"/>
      <c r="B360" s="742"/>
      <c r="C360" s="742"/>
      <c r="D360" s="491">
        <v>2015</v>
      </c>
      <c r="E360" s="578">
        <v>0</v>
      </c>
      <c r="F360" s="578">
        <v>0</v>
      </c>
      <c r="G360" s="569">
        <v>0</v>
      </c>
      <c r="H360" s="586"/>
      <c r="I360" s="578">
        <v>0</v>
      </c>
      <c r="J360" s="578"/>
      <c r="K360" s="569">
        <v>0</v>
      </c>
      <c r="L360" s="569"/>
      <c r="M360" s="492">
        <v>0</v>
      </c>
      <c r="N360" s="622"/>
      <c r="O360" s="569">
        <v>0</v>
      </c>
      <c r="P360" s="569"/>
      <c r="Q360" s="569">
        <v>0</v>
      </c>
      <c r="R360" s="569"/>
      <c r="S360" s="762"/>
      <c r="T360" s="762"/>
      <c r="U360" s="493">
        <f>AE360</f>
        <v>0</v>
      </c>
      <c r="V360" s="493"/>
      <c r="W360" s="577">
        <v>0</v>
      </c>
      <c r="X360" s="577"/>
      <c r="Y360" s="577">
        <f>AT360</f>
        <v>0</v>
      </c>
      <c r="Z360" s="577"/>
      <c r="AA360" s="577">
        <f>AR360</f>
        <v>0</v>
      </c>
      <c r="AB360" s="577"/>
      <c r="AC360" s="577">
        <f>AQ360</f>
        <v>0</v>
      </c>
      <c r="AD360" s="700"/>
      <c r="AE360" s="512">
        <f t="shared" si="164"/>
        <v>0</v>
      </c>
      <c r="AF360" s="520">
        <v>0</v>
      </c>
      <c r="AH360" s="512">
        <v>36012</v>
      </c>
      <c r="AJ360" s="513">
        <v>106.23302983559877</v>
      </c>
      <c r="AK360" s="514">
        <v>105.1948604625895</v>
      </c>
      <c r="AL360" s="513">
        <v>104.86113485125321</v>
      </c>
      <c r="AM360" s="512">
        <v>12</v>
      </c>
      <c r="AN360" s="512">
        <v>1000000</v>
      </c>
      <c r="AO360" s="512">
        <v>0.12</v>
      </c>
      <c r="AP360" s="523">
        <f>AE360*AH360*AL360%*AM360/AN360*AO360</f>
        <v>0</v>
      </c>
      <c r="AQ360" s="523">
        <f t="shared" si="170"/>
        <v>0</v>
      </c>
      <c r="AR360" s="523">
        <f t="shared" si="171"/>
        <v>0</v>
      </c>
      <c r="AS360" s="512">
        <v>0.18</v>
      </c>
      <c r="AT360" s="523">
        <f t="shared" si="169"/>
        <v>0</v>
      </c>
    </row>
    <row r="361" spans="1:46" ht="30" customHeight="1">
      <c r="A361" s="763">
        <v>14</v>
      </c>
      <c r="B361" s="742" t="s">
        <v>694</v>
      </c>
      <c r="C361" s="742" t="s">
        <v>336</v>
      </c>
      <c r="D361" s="568" t="s">
        <v>273</v>
      </c>
      <c r="E361" s="578">
        <f>SUM(G361:Q361)</f>
        <v>33</v>
      </c>
      <c r="F361" s="578"/>
      <c r="G361" s="569">
        <f aca="true" t="shared" si="176" ref="G361:Q361">SUM(G362:G364)</f>
        <v>33</v>
      </c>
      <c r="H361" s="586"/>
      <c r="I361" s="578">
        <f t="shared" si="176"/>
        <v>0</v>
      </c>
      <c r="J361" s="578"/>
      <c r="K361" s="569">
        <f t="shared" si="176"/>
        <v>0</v>
      </c>
      <c r="L361" s="569"/>
      <c r="M361" s="569">
        <f t="shared" si="176"/>
        <v>0</v>
      </c>
      <c r="N361" s="586"/>
      <c r="O361" s="569">
        <f t="shared" si="176"/>
        <v>0</v>
      </c>
      <c r="P361" s="569"/>
      <c r="Q361" s="569">
        <f t="shared" si="176"/>
        <v>0</v>
      </c>
      <c r="R361" s="569"/>
      <c r="S361" s="762" t="s">
        <v>584</v>
      </c>
      <c r="T361" s="762" t="s">
        <v>314</v>
      </c>
      <c r="U361" s="493">
        <f>SUM(U362:U364)</f>
        <v>30</v>
      </c>
      <c r="V361" s="493"/>
      <c r="W361" s="577">
        <v>0</v>
      </c>
      <c r="X361" s="577"/>
      <c r="Y361" s="577">
        <f>SUM(Y362:Y364)</f>
        <v>3.5639999999999996</v>
      </c>
      <c r="Z361" s="577"/>
      <c r="AA361" s="577">
        <f>SUM(AA362:AA364)</f>
        <v>0.8900845414654011</v>
      </c>
      <c r="AB361" s="577"/>
      <c r="AC361" s="577">
        <f>SUM(AC362:AC364)</f>
        <v>0.7518349225917857</v>
      </c>
      <c r="AD361" s="700"/>
      <c r="AF361" s="520"/>
      <c r="AG361" s="520"/>
      <c r="AH361" s="512">
        <v>36012</v>
      </c>
      <c r="AJ361" s="513">
        <v>106.23302983559877</v>
      </c>
      <c r="AK361" s="514">
        <v>105.1948604625895</v>
      </c>
      <c r="AL361" s="513">
        <v>104.86113485125321</v>
      </c>
      <c r="AM361" s="512">
        <v>12</v>
      </c>
      <c r="AN361" s="512">
        <v>1000000</v>
      </c>
      <c r="AO361" s="512">
        <v>0.12</v>
      </c>
      <c r="AP361" s="523">
        <f>AE361*AH361*AJ361%*AM361/AN361*AO361</f>
        <v>0</v>
      </c>
      <c r="AQ361" s="523">
        <f t="shared" si="170"/>
        <v>0</v>
      </c>
      <c r="AR361" s="523">
        <f t="shared" si="171"/>
        <v>0</v>
      </c>
      <c r="AS361" s="512">
        <v>0.18</v>
      </c>
      <c r="AT361" s="523">
        <f t="shared" si="169"/>
        <v>3.564</v>
      </c>
    </row>
    <row r="362" spans="1:46" ht="30" customHeight="1">
      <c r="A362" s="763"/>
      <c r="B362" s="742"/>
      <c r="C362" s="742"/>
      <c r="D362" s="491">
        <v>2013</v>
      </c>
      <c r="E362" s="578">
        <v>3</v>
      </c>
      <c r="F362" s="578"/>
      <c r="G362" s="569">
        <v>3</v>
      </c>
      <c r="H362" s="586"/>
      <c r="I362" s="578">
        <v>0</v>
      </c>
      <c r="J362" s="578"/>
      <c r="K362" s="569">
        <v>0</v>
      </c>
      <c r="L362" s="569"/>
      <c r="M362" s="492">
        <v>0</v>
      </c>
      <c r="N362" s="622"/>
      <c r="O362" s="569">
        <v>0</v>
      </c>
      <c r="P362" s="569"/>
      <c r="Q362" s="569">
        <v>0</v>
      </c>
      <c r="R362" s="569"/>
      <c r="S362" s="762"/>
      <c r="T362" s="762"/>
      <c r="U362" s="493">
        <f>AE362</f>
        <v>10</v>
      </c>
      <c r="V362" s="493"/>
      <c r="W362" s="577">
        <v>0</v>
      </c>
      <c r="X362" s="577"/>
      <c r="Y362" s="577">
        <f>AT362</f>
        <v>0.32399999999999995</v>
      </c>
      <c r="Z362" s="577"/>
      <c r="AA362" s="577">
        <f>AR362</f>
        <v>0.2986405033198029</v>
      </c>
      <c r="AB362" s="577"/>
      <c r="AC362" s="577">
        <f>AQ362</f>
        <v>0.25225509402349705</v>
      </c>
      <c r="AD362" s="700"/>
      <c r="AE362" s="512">
        <f t="shared" si="164"/>
        <v>10</v>
      </c>
      <c r="AF362" s="520">
        <v>0</v>
      </c>
      <c r="AG362" s="512">
        <v>10</v>
      </c>
      <c r="AH362" s="512">
        <v>36012</v>
      </c>
      <c r="AJ362" s="513">
        <v>106.23302983559877</v>
      </c>
      <c r="AK362" s="514">
        <v>105.1948604625895</v>
      </c>
      <c r="AL362" s="513">
        <v>104.86113485125321</v>
      </c>
      <c r="AM362" s="512">
        <v>12</v>
      </c>
      <c r="AN362" s="512">
        <v>1000000</v>
      </c>
      <c r="AO362" s="512">
        <v>0.12</v>
      </c>
      <c r="AP362" s="523">
        <f>AE362*AH362*AJ362%*AM362/AN362*AO362</f>
        <v>0.5508955973433</v>
      </c>
      <c r="AQ362" s="523">
        <f t="shared" si="170"/>
        <v>0.25225509402349705</v>
      </c>
      <c r="AR362" s="523">
        <f t="shared" si="171"/>
        <v>0.2986405033198029</v>
      </c>
      <c r="AS362" s="512">
        <v>0.18</v>
      </c>
      <c r="AT362" s="523">
        <f t="shared" si="169"/>
        <v>0.32399999999999995</v>
      </c>
    </row>
    <row r="363" spans="1:46" ht="30" customHeight="1">
      <c r="A363" s="763"/>
      <c r="B363" s="742"/>
      <c r="C363" s="742"/>
      <c r="D363" s="491">
        <v>2014</v>
      </c>
      <c r="E363" s="578">
        <v>30</v>
      </c>
      <c r="F363" s="578"/>
      <c r="G363" s="569">
        <v>30</v>
      </c>
      <c r="H363" s="586"/>
      <c r="I363" s="578">
        <v>0</v>
      </c>
      <c r="J363" s="578"/>
      <c r="K363" s="569">
        <v>0</v>
      </c>
      <c r="L363" s="569"/>
      <c r="M363" s="492">
        <v>0</v>
      </c>
      <c r="N363" s="622"/>
      <c r="O363" s="569">
        <v>0</v>
      </c>
      <c r="P363" s="569"/>
      <c r="Q363" s="569">
        <v>0</v>
      </c>
      <c r="R363" s="569"/>
      <c r="S363" s="762"/>
      <c r="T363" s="762"/>
      <c r="U363" s="493">
        <f>AE363</f>
        <v>20</v>
      </c>
      <c r="V363" s="493"/>
      <c r="W363" s="577">
        <v>0</v>
      </c>
      <c r="X363" s="577"/>
      <c r="Y363" s="577">
        <f>AT363</f>
        <v>3.2399999999999998</v>
      </c>
      <c r="Z363" s="577"/>
      <c r="AA363" s="577">
        <f>AR363</f>
        <v>0.5914440381455981</v>
      </c>
      <c r="AB363" s="577"/>
      <c r="AC363" s="577">
        <f>AQ363</f>
        <v>0.4995798285682887</v>
      </c>
      <c r="AD363" s="700"/>
      <c r="AE363" s="512">
        <f t="shared" si="164"/>
        <v>20</v>
      </c>
      <c r="AF363" s="520">
        <v>0</v>
      </c>
      <c r="AG363" s="512">
        <v>20</v>
      </c>
      <c r="AH363" s="512">
        <v>36012</v>
      </c>
      <c r="AJ363" s="513">
        <v>106.23302983559877</v>
      </c>
      <c r="AK363" s="514">
        <v>105.1948604625895</v>
      </c>
      <c r="AL363" s="513">
        <v>104.86113485125321</v>
      </c>
      <c r="AM363" s="512">
        <v>12</v>
      </c>
      <c r="AN363" s="512">
        <v>1000000</v>
      </c>
      <c r="AO363" s="512">
        <v>0.12</v>
      </c>
      <c r="AP363" s="523">
        <f>AE363*AH363*AK363%*AM363/AN363*AO363</f>
        <v>1.0910238667138867</v>
      </c>
      <c r="AQ363" s="523">
        <f t="shared" si="170"/>
        <v>0.4995798285682887</v>
      </c>
      <c r="AR363" s="523">
        <f t="shared" si="171"/>
        <v>0.5914440381455981</v>
      </c>
      <c r="AS363" s="512">
        <v>0.18</v>
      </c>
      <c r="AT363" s="523">
        <f t="shared" si="169"/>
        <v>3.2399999999999998</v>
      </c>
    </row>
    <row r="364" spans="1:46" ht="48" customHeight="1">
      <c r="A364" s="763"/>
      <c r="B364" s="742"/>
      <c r="C364" s="742"/>
      <c r="D364" s="647">
        <v>2015</v>
      </c>
      <c r="E364" s="650">
        <v>0</v>
      </c>
      <c r="F364" s="650">
        <v>20.287</v>
      </c>
      <c r="G364" s="634">
        <v>0</v>
      </c>
      <c r="H364" s="667">
        <v>20.287</v>
      </c>
      <c r="I364" s="650">
        <v>0</v>
      </c>
      <c r="J364" s="650"/>
      <c r="K364" s="634">
        <v>0</v>
      </c>
      <c r="L364" s="634"/>
      <c r="M364" s="635">
        <v>0</v>
      </c>
      <c r="N364" s="661"/>
      <c r="O364" s="634">
        <v>0</v>
      </c>
      <c r="P364" s="634"/>
      <c r="Q364" s="634">
        <v>0</v>
      </c>
      <c r="R364" s="634"/>
      <c r="S364" s="762"/>
      <c r="T364" s="762"/>
      <c r="U364" s="493">
        <f>AE364</f>
        <v>0</v>
      </c>
      <c r="V364" s="493" t="s">
        <v>837</v>
      </c>
      <c r="W364" s="577">
        <v>0</v>
      </c>
      <c r="X364" s="577"/>
      <c r="Y364" s="577">
        <f>AT364</f>
        <v>0</v>
      </c>
      <c r="Z364" s="577"/>
      <c r="AA364" s="577">
        <f>AR364</f>
        <v>0</v>
      </c>
      <c r="AB364" s="577"/>
      <c r="AC364" s="577">
        <f>AQ364</f>
        <v>0</v>
      </c>
      <c r="AD364" s="700"/>
      <c r="AE364" s="512">
        <f t="shared" si="164"/>
        <v>0</v>
      </c>
      <c r="AF364" s="520">
        <v>0</v>
      </c>
      <c r="AH364" s="512">
        <v>36012</v>
      </c>
      <c r="AJ364" s="513">
        <v>106.23302983559877</v>
      </c>
      <c r="AK364" s="514">
        <v>105.1948604625895</v>
      </c>
      <c r="AL364" s="513">
        <v>104.86113485125321</v>
      </c>
      <c r="AM364" s="512">
        <v>12</v>
      </c>
      <c r="AN364" s="512">
        <v>1000000</v>
      </c>
      <c r="AO364" s="512">
        <v>0.12</v>
      </c>
      <c r="AP364" s="523">
        <f>AE364*AH364*AL364%*AM364/AN364*AO364</f>
        <v>0</v>
      </c>
      <c r="AQ364" s="523">
        <f t="shared" si="170"/>
        <v>0</v>
      </c>
      <c r="AR364" s="523">
        <f t="shared" si="171"/>
        <v>0</v>
      </c>
      <c r="AS364" s="512">
        <v>0.18</v>
      </c>
      <c r="AT364" s="523">
        <f t="shared" si="169"/>
        <v>0</v>
      </c>
    </row>
    <row r="365" spans="1:46" s="553" customFormat="1" ht="17.25" customHeight="1">
      <c r="A365" s="803" t="s">
        <v>332</v>
      </c>
      <c r="B365" s="803"/>
      <c r="C365" s="803"/>
      <c r="D365" s="803"/>
      <c r="E365" s="803"/>
      <c r="F365" s="803"/>
      <c r="G365" s="803"/>
      <c r="H365" s="803"/>
      <c r="I365" s="803"/>
      <c r="J365" s="803"/>
      <c r="K365" s="803"/>
      <c r="L365" s="803"/>
      <c r="M365" s="803"/>
      <c r="N365" s="803"/>
      <c r="O365" s="803"/>
      <c r="P365" s="803"/>
      <c r="Q365" s="803"/>
      <c r="R365" s="803"/>
      <c r="S365" s="803"/>
      <c r="T365" s="803"/>
      <c r="U365" s="803"/>
      <c r="V365" s="803"/>
      <c r="W365" s="803"/>
      <c r="X365" s="803"/>
      <c r="Y365" s="803"/>
      <c r="Z365" s="803"/>
      <c r="AA365" s="803"/>
      <c r="AB365" s="803"/>
      <c r="AC365" s="803"/>
      <c r="AD365" s="696"/>
      <c r="AE365" s="554"/>
      <c r="AF365" s="554"/>
      <c r="AG365" s="554"/>
      <c r="AH365" s="554">
        <v>36012</v>
      </c>
      <c r="AI365" s="554"/>
      <c r="AJ365" s="555">
        <v>106.23302983559877</v>
      </c>
      <c r="AK365" s="556">
        <v>105.1948604625895</v>
      </c>
      <c r="AL365" s="555">
        <v>104.86113485125321</v>
      </c>
      <c r="AM365" s="554">
        <v>12</v>
      </c>
      <c r="AN365" s="554">
        <v>1000000</v>
      </c>
      <c r="AO365" s="554">
        <v>0.12</v>
      </c>
      <c r="AP365" s="563">
        <f aca="true" t="shared" si="177" ref="AP365:AP371">AE365*AH365*AJ365%*AM365/AN365*AO365</f>
        <v>0</v>
      </c>
      <c r="AQ365" s="563">
        <f t="shared" si="170"/>
        <v>0</v>
      </c>
      <c r="AR365" s="563">
        <f t="shared" si="171"/>
        <v>0</v>
      </c>
      <c r="AS365" s="554">
        <v>0.18</v>
      </c>
      <c r="AT365" s="563">
        <f t="shared" si="169"/>
        <v>0</v>
      </c>
    </row>
    <row r="366" spans="1:46" s="553" customFormat="1" ht="18" customHeight="1">
      <c r="A366" s="839"/>
      <c r="B366" s="772" t="s">
        <v>333</v>
      </c>
      <c r="C366" s="772"/>
      <c r="D366" s="558" t="s">
        <v>273</v>
      </c>
      <c r="E366" s="594">
        <f>SUM(G366:Q366)</f>
        <v>10.1</v>
      </c>
      <c r="F366" s="594">
        <f>SUM(F367:F369)</f>
        <v>0</v>
      </c>
      <c r="G366" s="620">
        <f aca="true" t="shared" si="178" ref="G366:Q366">SUM(G367:G369)</f>
        <v>0</v>
      </c>
      <c r="H366" s="685">
        <f>SUM(H367:H369)</f>
        <v>0</v>
      </c>
      <c r="I366" s="594">
        <f t="shared" si="178"/>
        <v>9.6</v>
      </c>
      <c r="J366" s="594">
        <f>SUM(J367:J369)</f>
        <v>0</v>
      </c>
      <c r="K366" s="620">
        <f t="shared" si="178"/>
        <v>0.5</v>
      </c>
      <c r="L366" s="620">
        <f>SUM(L367:L369)</f>
        <v>0</v>
      </c>
      <c r="M366" s="620">
        <f t="shared" si="178"/>
        <v>0</v>
      </c>
      <c r="N366" s="685">
        <f>SUM(N367:N369)</f>
        <v>0</v>
      </c>
      <c r="O366" s="620">
        <f t="shared" si="178"/>
        <v>0</v>
      </c>
      <c r="P366" s="620">
        <f>SUM(P367:P369)</f>
        <v>0</v>
      </c>
      <c r="Q366" s="620">
        <f t="shared" si="178"/>
        <v>0</v>
      </c>
      <c r="R366" s="620">
        <f>SUM(R367:R369)</f>
        <v>0</v>
      </c>
      <c r="S366" s="766" t="s">
        <v>581</v>
      </c>
      <c r="T366" s="766"/>
      <c r="U366" s="559">
        <f aca="true" t="shared" si="179" ref="U366:AD366">SUM(U367:U369)</f>
        <v>40</v>
      </c>
      <c r="V366" s="620">
        <f t="shared" si="179"/>
        <v>0</v>
      </c>
      <c r="W366" s="594">
        <f>SUM(W367:W369)</f>
        <v>3.27823139741413</v>
      </c>
      <c r="X366" s="594">
        <f t="shared" si="179"/>
        <v>0</v>
      </c>
      <c r="Y366" s="594">
        <f t="shared" si="179"/>
        <v>1.0908</v>
      </c>
      <c r="Z366" s="594">
        <f t="shared" si="179"/>
        <v>0</v>
      </c>
      <c r="AA366" s="594">
        <f t="shared" si="179"/>
        <v>1.1858065605382</v>
      </c>
      <c r="AB366" s="594">
        <f t="shared" si="179"/>
        <v>0</v>
      </c>
      <c r="AC366" s="594">
        <f t="shared" si="179"/>
        <v>1.0016248368759302</v>
      </c>
      <c r="AD366" s="685">
        <f t="shared" si="179"/>
        <v>0</v>
      </c>
      <c r="AE366" s="554"/>
      <c r="AF366" s="677">
        <f>SUM(AF367:AF369)</f>
        <v>0</v>
      </c>
      <c r="AG366" s="677">
        <f>SUM(AG367:AG369)</f>
        <v>40</v>
      </c>
      <c r="AH366" s="554">
        <v>36012</v>
      </c>
      <c r="AI366" s="554"/>
      <c r="AJ366" s="555">
        <v>106.23302983559877</v>
      </c>
      <c r="AK366" s="556">
        <v>105.1948604625895</v>
      </c>
      <c r="AL366" s="555">
        <v>104.86113485125321</v>
      </c>
      <c r="AM366" s="554">
        <v>12</v>
      </c>
      <c r="AN366" s="554">
        <v>1000000</v>
      </c>
      <c r="AO366" s="554">
        <v>0.12</v>
      </c>
      <c r="AP366" s="563">
        <f t="shared" si="177"/>
        <v>0</v>
      </c>
      <c r="AQ366" s="563">
        <f t="shared" si="170"/>
        <v>0</v>
      </c>
      <c r="AR366" s="563">
        <f t="shared" si="171"/>
        <v>0</v>
      </c>
      <c r="AS366" s="554">
        <v>0.18</v>
      </c>
      <c r="AT366" s="563">
        <f t="shared" si="169"/>
        <v>1.0908</v>
      </c>
    </row>
    <row r="367" spans="1:46" s="553" customFormat="1" ht="18" customHeight="1">
      <c r="A367" s="839"/>
      <c r="B367" s="772"/>
      <c r="C367" s="772"/>
      <c r="D367" s="558">
        <v>2013</v>
      </c>
      <c r="E367" s="594">
        <f>SUM(G367:Q367)</f>
        <v>0</v>
      </c>
      <c r="F367" s="594"/>
      <c r="G367" s="620">
        <f>G371+G375</f>
        <v>0</v>
      </c>
      <c r="H367" s="685"/>
      <c r="I367" s="594">
        <f aca="true" t="shared" si="180" ref="G367:Q369">I371+I375</f>
        <v>0</v>
      </c>
      <c r="J367" s="594"/>
      <c r="K367" s="620">
        <f t="shared" si="180"/>
        <v>0</v>
      </c>
      <c r="L367" s="620"/>
      <c r="M367" s="620">
        <f t="shared" si="180"/>
        <v>0</v>
      </c>
      <c r="N367" s="685"/>
      <c r="O367" s="620">
        <f t="shared" si="180"/>
        <v>0</v>
      </c>
      <c r="P367" s="620"/>
      <c r="Q367" s="620">
        <f t="shared" si="180"/>
        <v>0</v>
      </c>
      <c r="R367" s="620"/>
      <c r="S367" s="766"/>
      <c r="T367" s="766"/>
      <c r="U367" s="559">
        <f>U371+U375</f>
        <v>10</v>
      </c>
      <c r="V367" s="559"/>
      <c r="W367" s="594">
        <f>SUM(Y367:AC367)</f>
        <v>0.5508955973433</v>
      </c>
      <c r="X367" s="594"/>
      <c r="Y367" s="594">
        <f>Y371+Y375</f>
        <v>0</v>
      </c>
      <c r="Z367" s="594"/>
      <c r="AA367" s="594">
        <f aca="true" t="shared" si="181" ref="Y367:AC369">AA371+AA375</f>
        <v>0.2986405033198029</v>
      </c>
      <c r="AB367" s="594"/>
      <c r="AC367" s="594">
        <f t="shared" si="181"/>
        <v>0.25225509402349705</v>
      </c>
      <c r="AD367" s="696"/>
      <c r="AE367" s="554"/>
      <c r="AF367" s="677">
        <f aca="true" t="shared" si="182" ref="AF367:AG369">AF371+AF375</f>
        <v>0</v>
      </c>
      <c r="AG367" s="677">
        <f t="shared" si="182"/>
        <v>10</v>
      </c>
      <c r="AH367" s="554">
        <v>36012</v>
      </c>
      <c r="AI367" s="554"/>
      <c r="AJ367" s="555">
        <v>106.23302983559877</v>
      </c>
      <c r="AK367" s="556">
        <v>105.1948604625895</v>
      </c>
      <c r="AL367" s="555">
        <v>104.86113485125321</v>
      </c>
      <c r="AM367" s="554">
        <v>12</v>
      </c>
      <c r="AN367" s="554">
        <v>1000000</v>
      </c>
      <c r="AO367" s="554">
        <v>0.12</v>
      </c>
      <c r="AP367" s="563">
        <f t="shared" si="177"/>
        <v>0</v>
      </c>
      <c r="AQ367" s="563">
        <f t="shared" si="170"/>
        <v>0</v>
      </c>
      <c r="AR367" s="563">
        <f t="shared" si="171"/>
        <v>0</v>
      </c>
      <c r="AS367" s="554">
        <v>0.18</v>
      </c>
      <c r="AT367" s="563">
        <f t="shared" si="169"/>
        <v>0</v>
      </c>
    </row>
    <row r="368" spans="1:46" s="553" customFormat="1" ht="18" customHeight="1">
      <c r="A368" s="839"/>
      <c r="B368" s="772"/>
      <c r="C368" s="772"/>
      <c r="D368" s="558">
        <v>2014</v>
      </c>
      <c r="E368" s="594">
        <f>SUM(G368:Q368)</f>
        <v>10.1</v>
      </c>
      <c r="F368" s="594"/>
      <c r="G368" s="620">
        <f t="shared" si="180"/>
        <v>0</v>
      </c>
      <c r="H368" s="685"/>
      <c r="I368" s="594">
        <f t="shared" si="180"/>
        <v>9.6</v>
      </c>
      <c r="J368" s="594"/>
      <c r="K368" s="620">
        <f t="shared" si="180"/>
        <v>0.5</v>
      </c>
      <c r="L368" s="620"/>
      <c r="M368" s="620">
        <f t="shared" si="180"/>
        <v>0</v>
      </c>
      <c r="N368" s="685"/>
      <c r="O368" s="620">
        <f t="shared" si="180"/>
        <v>0</v>
      </c>
      <c r="P368" s="620"/>
      <c r="Q368" s="620">
        <f t="shared" si="180"/>
        <v>0</v>
      </c>
      <c r="R368" s="620"/>
      <c r="S368" s="766"/>
      <c r="T368" s="766"/>
      <c r="U368" s="559">
        <f>U372+U376</f>
        <v>30</v>
      </c>
      <c r="V368" s="559"/>
      <c r="W368" s="594">
        <f>SUM(Y368:AC368)</f>
        <v>2.72733580007083</v>
      </c>
      <c r="X368" s="594"/>
      <c r="Y368" s="594">
        <f t="shared" si="181"/>
        <v>1.0908</v>
      </c>
      <c r="Z368" s="594"/>
      <c r="AA368" s="594">
        <f t="shared" si="181"/>
        <v>0.8871660572183971</v>
      </c>
      <c r="AB368" s="594"/>
      <c r="AC368" s="594">
        <f t="shared" si="181"/>
        <v>0.7493697428524331</v>
      </c>
      <c r="AD368" s="696"/>
      <c r="AE368" s="554"/>
      <c r="AF368" s="677">
        <f t="shared" si="182"/>
        <v>0</v>
      </c>
      <c r="AG368" s="677">
        <f t="shared" si="182"/>
        <v>30</v>
      </c>
      <c r="AH368" s="554">
        <v>36012</v>
      </c>
      <c r="AI368" s="554"/>
      <c r="AJ368" s="555">
        <v>106.23302983559877</v>
      </c>
      <c r="AK368" s="556">
        <v>105.1948604625895</v>
      </c>
      <c r="AL368" s="555">
        <v>104.86113485125321</v>
      </c>
      <c r="AM368" s="554">
        <v>12</v>
      </c>
      <c r="AN368" s="554">
        <v>1000000</v>
      </c>
      <c r="AO368" s="554">
        <v>0.12</v>
      </c>
      <c r="AP368" s="563">
        <f t="shared" si="177"/>
        <v>0</v>
      </c>
      <c r="AQ368" s="563">
        <f t="shared" si="170"/>
        <v>0</v>
      </c>
      <c r="AR368" s="563">
        <f t="shared" si="171"/>
        <v>0</v>
      </c>
      <c r="AS368" s="554">
        <v>0.18</v>
      </c>
      <c r="AT368" s="563">
        <f t="shared" si="169"/>
        <v>1.0908</v>
      </c>
    </row>
    <row r="369" spans="1:46" s="553" customFormat="1" ht="18" customHeight="1">
      <c r="A369" s="839"/>
      <c r="B369" s="772"/>
      <c r="C369" s="772"/>
      <c r="D369" s="678">
        <v>2015</v>
      </c>
      <c r="E369" s="594">
        <f>SUM(G369:Q369)</f>
        <v>0</v>
      </c>
      <c r="F369" s="594">
        <v>0</v>
      </c>
      <c r="G369" s="620">
        <f t="shared" si="180"/>
        <v>0</v>
      </c>
      <c r="H369" s="685">
        <v>0</v>
      </c>
      <c r="I369" s="594">
        <f t="shared" si="180"/>
        <v>0</v>
      </c>
      <c r="J369" s="594">
        <v>0</v>
      </c>
      <c r="K369" s="620">
        <f t="shared" si="180"/>
        <v>0</v>
      </c>
      <c r="L369" s="620">
        <v>0</v>
      </c>
      <c r="M369" s="620">
        <f t="shared" si="180"/>
        <v>0</v>
      </c>
      <c r="N369" s="685">
        <v>0</v>
      </c>
      <c r="O369" s="620">
        <f t="shared" si="180"/>
        <v>0</v>
      </c>
      <c r="P369" s="620">
        <v>0</v>
      </c>
      <c r="Q369" s="620">
        <f>Q373+Q377</f>
        <v>0</v>
      </c>
      <c r="R369" s="620">
        <v>0</v>
      </c>
      <c r="S369" s="766"/>
      <c r="T369" s="766"/>
      <c r="U369" s="559">
        <f>U373+U377</f>
        <v>0</v>
      </c>
      <c r="V369" s="620">
        <v>0</v>
      </c>
      <c r="W369" s="594">
        <f>SUM(Y369:AC369)</f>
        <v>0</v>
      </c>
      <c r="X369" s="594">
        <v>0</v>
      </c>
      <c r="Y369" s="594">
        <f t="shared" si="181"/>
        <v>0</v>
      </c>
      <c r="Z369" s="594">
        <v>0</v>
      </c>
      <c r="AA369" s="594">
        <f t="shared" si="181"/>
        <v>0</v>
      </c>
      <c r="AB369" s="594">
        <v>0</v>
      </c>
      <c r="AC369" s="594">
        <f t="shared" si="181"/>
        <v>0</v>
      </c>
      <c r="AD369" s="685">
        <v>0</v>
      </c>
      <c r="AE369" s="554"/>
      <c r="AF369" s="677">
        <f t="shared" si="182"/>
        <v>0</v>
      </c>
      <c r="AG369" s="677">
        <f t="shared" si="182"/>
        <v>0</v>
      </c>
      <c r="AH369" s="554">
        <v>36012</v>
      </c>
      <c r="AI369" s="554"/>
      <c r="AJ369" s="555">
        <v>106.23302983559877</v>
      </c>
      <c r="AK369" s="556">
        <v>105.1948604625895</v>
      </c>
      <c r="AL369" s="555">
        <v>104.86113485125321</v>
      </c>
      <c r="AM369" s="554">
        <v>12</v>
      </c>
      <c r="AN369" s="554">
        <v>1000000</v>
      </c>
      <c r="AO369" s="554">
        <v>0.12</v>
      </c>
      <c r="AP369" s="563">
        <f t="shared" si="177"/>
        <v>0</v>
      </c>
      <c r="AQ369" s="563">
        <f t="shared" si="170"/>
        <v>0</v>
      </c>
      <c r="AR369" s="563">
        <f t="shared" si="171"/>
        <v>0</v>
      </c>
      <c r="AS369" s="554">
        <v>0.18</v>
      </c>
      <c r="AT369" s="563">
        <f t="shared" si="169"/>
        <v>0</v>
      </c>
    </row>
    <row r="370" spans="1:46" ht="34.5" customHeight="1">
      <c r="A370" s="763">
        <v>1</v>
      </c>
      <c r="B370" s="742" t="s">
        <v>631</v>
      </c>
      <c r="C370" s="742" t="s">
        <v>853</v>
      </c>
      <c r="D370" s="568" t="s">
        <v>273</v>
      </c>
      <c r="E370" s="578">
        <f>SUM(G370:Q370)</f>
        <v>5.05</v>
      </c>
      <c r="F370" s="578"/>
      <c r="G370" s="569">
        <f aca="true" t="shared" si="183" ref="G370:Q370">SUM(G371:G373)</f>
        <v>0</v>
      </c>
      <c r="H370" s="586"/>
      <c r="I370" s="578">
        <f t="shared" si="183"/>
        <v>4.8</v>
      </c>
      <c r="J370" s="578"/>
      <c r="K370" s="575">
        <f t="shared" si="183"/>
        <v>0.25</v>
      </c>
      <c r="L370" s="575"/>
      <c r="M370" s="569">
        <f t="shared" si="183"/>
        <v>0</v>
      </c>
      <c r="N370" s="586"/>
      <c r="O370" s="569">
        <f t="shared" si="183"/>
        <v>0</v>
      </c>
      <c r="P370" s="569"/>
      <c r="Q370" s="569">
        <f t="shared" si="183"/>
        <v>0</v>
      </c>
      <c r="R370" s="569"/>
      <c r="S370" s="762" t="s">
        <v>581</v>
      </c>
      <c r="T370" s="762" t="s">
        <v>315</v>
      </c>
      <c r="U370" s="493">
        <f>SUM(U371:U373)</f>
        <v>20</v>
      </c>
      <c r="V370" s="493"/>
      <c r="W370" s="577">
        <f>SUM(W371:W373)</f>
        <v>1.6418075307002433</v>
      </c>
      <c r="X370" s="577"/>
      <c r="Y370" s="577">
        <f>SUM(Y371:Y373)</f>
        <v>0.5454</v>
      </c>
      <c r="Z370" s="577"/>
      <c r="AA370" s="577">
        <f>SUM(AA371:AA373)</f>
        <v>0.5943625223926019</v>
      </c>
      <c r="AB370" s="577"/>
      <c r="AC370" s="577">
        <f>SUM(AC371:AC373)</f>
        <v>0.5020450083076414</v>
      </c>
      <c r="AD370" s="700"/>
      <c r="AF370" s="520"/>
      <c r="AG370" s="520"/>
      <c r="AH370" s="512">
        <v>36012</v>
      </c>
      <c r="AJ370" s="513">
        <v>106.23302983559877</v>
      </c>
      <c r="AK370" s="514">
        <v>105.1948604625895</v>
      </c>
      <c r="AL370" s="513">
        <v>104.86113485125321</v>
      </c>
      <c r="AM370" s="512">
        <v>12</v>
      </c>
      <c r="AN370" s="512">
        <v>1000000</v>
      </c>
      <c r="AO370" s="512">
        <v>0.12</v>
      </c>
      <c r="AP370" s="523">
        <f t="shared" si="177"/>
        <v>0</v>
      </c>
      <c r="AQ370" s="523">
        <f t="shared" si="170"/>
        <v>0</v>
      </c>
      <c r="AR370" s="523">
        <f t="shared" si="171"/>
        <v>0</v>
      </c>
      <c r="AS370" s="512">
        <v>0.18</v>
      </c>
      <c r="AT370" s="523">
        <f t="shared" si="169"/>
        <v>0.5454</v>
      </c>
    </row>
    <row r="371" spans="1:46" ht="34.5" customHeight="1">
      <c r="A371" s="763"/>
      <c r="B371" s="742"/>
      <c r="C371" s="742"/>
      <c r="D371" s="489">
        <v>2013</v>
      </c>
      <c r="E371" s="578">
        <v>0</v>
      </c>
      <c r="F371" s="578"/>
      <c r="G371" s="569">
        <v>0</v>
      </c>
      <c r="H371" s="586"/>
      <c r="I371" s="578">
        <v>0</v>
      </c>
      <c r="J371" s="578"/>
      <c r="K371" s="569">
        <v>0</v>
      </c>
      <c r="L371" s="569"/>
      <c r="M371" s="569">
        <v>0</v>
      </c>
      <c r="N371" s="586"/>
      <c r="O371" s="569">
        <v>0</v>
      </c>
      <c r="P371" s="569"/>
      <c r="Q371" s="569">
        <v>0</v>
      </c>
      <c r="R371" s="569"/>
      <c r="S371" s="762"/>
      <c r="T371" s="762"/>
      <c r="U371" s="493">
        <f>AE371</f>
        <v>10</v>
      </c>
      <c r="V371" s="493"/>
      <c r="W371" s="577">
        <f>SUM(Y371:AC371)</f>
        <v>0.5508955973433</v>
      </c>
      <c r="X371" s="577"/>
      <c r="Y371" s="577">
        <f>AT371</f>
        <v>0</v>
      </c>
      <c r="Z371" s="577"/>
      <c r="AA371" s="577">
        <f>AR371</f>
        <v>0.2986405033198029</v>
      </c>
      <c r="AB371" s="577"/>
      <c r="AC371" s="577">
        <f>AQ371</f>
        <v>0.25225509402349705</v>
      </c>
      <c r="AD371" s="700"/>
      <c r="AE371" s="512">
        <f t="shared" si="164"/>
        <v>10</v>
      </c>
      <c r="AF371" s="520">
        <v>0</v>
      </c>
      <c r="AG371" s="512">
        <v>10</v>
      </c>
      <c r="AH371" s="512">
        <v>36012</v>
      </c>
      <c r="AJ371" s="513">
        <v>106.23302983559877</v>
      </c>
      <c r="AK371" s="514">
        <v>105.1948604625895</v>
      </c>
      <c r="AL371" s="513">
        <v>104.86113485125321</v>
      </c>
      <c r="AM371" s="512">
        <v>12</v>
      </c>
      <c r="AN371" s="512">
        <v>1000000</v>
      </c>
      <c r="AO371" s="512">
        <v>0.12</v>
      </c>
      <c r="AP371" s="523">
        <f t="shared" si="177"/>
        <v>0.5508955973433</v>
      </c>
      <c r="AQ371" s="523">
        <f t="shared" si="170"/>
        <v>0.25225509402349705</v>
      </c>
      <c r="AR371" s="523">
        <f t="shared" si="171"/>
        <v>0.2986405033198029</v>
      </c>
      <c r="AS371" s="512">
        <v>0.18</v>
      </c>
      <c r="AT371" s="523">
        <f t="shared" si="169"/>
        <v>0</v>
      </c>
    </row>
    <row r="372" spans="1:46" ht="34.5" customHeight="1">
      <c r="A372" s="763"/>
      <c r="B372" s="742"/>
      <c r="C372" s="742"/>
      <c r="D372" s="568">
        <v>2014</v>
      </c>
      <c r="E372" s="578">
        <f aca="true" t="shared" si="184" ref="E372:E377">SUM(G372:Q372)</f>
        <v>5.05</v>
      </c>
      <c r="F372" s="578"/>
      <c r="G372" s="569">
        <v>0</v>
      </c>
      <c r="H372" s="586"/>
      <c r="I372" s="578">
        <v>4.8</v>
      </c>
      <c r="J372" s="578"/>
      <c r="K372" s="575">
        <v>0.25</v>
      </c>
      <c r="L372" s="575"/>
      <c r="M372" s="569">
        <v>0</v>
      </c>
      <c r="N372" s="586"/>
      <c r="O372" s="569">
        <v>0</v>
      </c>
      <c r="P372" s="569"/>
      <c r="Q372" s="569">
        <v>0</v>
      </c>
      <c r="R372" s="569"/>
      <c r="S372" s="762"/>
      <c r="T372" s="762"/>
      <c r="U372" s="493">
        <f>AE372</f>
        <v>10</v>
      </c>
      <c r="V372" s="493"/>
      <c r="W372" s="577">
        <f>SUM(Y372:AC372)</f>
        <v>1.0909119333569435</v>
      </c>
      <c r="X372" s="577"/>
      <c r="Y372" s="577">
        <f>AT372</f>
        <v>0.5454</v>
      </c>
      <c r="Z372" s="577"/>
      <c r="AA372" s="577">
        <f>AR372</f>
        <v>0.29572201907279905</v>
      </c>
      <c r="AB372" s="577"/>
      <c r="AC372" s="577">
        <f>AQ372</f>
        <v>0.24978991428414435</v>
      </c>
      <c r="AD372" s="700"/>
      <c r="AE372" s="512">
        <f t="shared" si="164"/>
        <v>10</v>
      </c>
      <c r="AF372" s="520">
        <v>0</v>
      </c>
      <c r="AG372" s="512">
        <v>10</v>
      </c>
      <c r="AH372" s="512">
        <v>36012</v>
      </c>
      <c r="AJ372" s="513">
        <v>106.23302983559877</v>
      </c>
      <c r="AK372" s="514">
        <v>105.1948604625895</v>
      </c>
      <c r="AL372" s="513">
        <v>104.86113485125321</v>
      </c>
      <c r="AM372" s="512">
        <v>12</v>
      </c>
      <c r="AN372" s="512">
        <v>1000000</v>
      </c>
      <c r="AO372" s="512">
        <v>0.12</v>
      </c>
      <c r="AP372" s="523">
        <f>AE372*AH372*AK372%*AM372/AN372*AO372</f>
        <v>0.5455119333569434</v>
      </c>
      <c r="AQ372" s="523">
        <f t="shared" si="170"/>
        <v>0.24978991428414435</v>
      </c>
      <c r="AR372" s="523">
        <f t="shared" si="171"/>
        <v>0.29572201907279905</v>
      </c>
      <c r="AS372" s="512">
        <v>0.18</v>
      </c>
      <c r="AT372" s="523">
        <f t="shared" si="169"/>
        <v>0.5454</v>
      </c>
    </row>
    <row r="373" spans="1:46" ht="45.75" customHeight="1">
      <c r="A373" s="763"/>
      <c r="B373" s="742"/>
      <c r="C373" s="742"/>
      <c r="D373" s="489">
        <v>2015</v>
      </c>
      <c r="E373" s="578">
        <f t="shared" si="184"/>
        <v>0</v>
      </c>
      <c r="F373" s="578">
        <v>0</v>
      </c>
      <c r="G373" s="569">
        <v>0</v>
      </c>
      <c r="H373" s="586"/>
      <c r="I373" s="578">
        <v>0</v>
      </c>
      <c r="J373" s="578"/>
      <c r="K373" s="569">
        <v>0</v>
      </c>
      <c r="L373" s="569"/>
      <c r="M373" s="569">
        <v>0</v>
      </c>
      <c r="N373" s="586"/>
      <c r="O373" s="569">
        <v>0</v>
      </c>
      <c r="P373" s="569"/>
      <c r="Q373" s="569">
        <v>0</v>
      </c>
      <c r="R373" s="569"/>
      <c r="S373" s="762"/>
      <c r="T373" s="762"/>
      <c r="U373" s="493">
        <f>AE373</f>
        <v>0</v>
      </c>
      <c r="V373" s="493"/>
      <c r="W373" s="577">
        <f>SUM(Y373:AC373)</f>
        <v>0</v>
      </c>
      <c r="X373" s="577"/>
      <c r="Y373" s="577">
        <f>AT373</f>
        <v>0</v>
      </c>
      <c r="Z373" s="577"/>
      <c r="AA373" s="577">
        <f>AR373</f>
        <v>0</v>
      </c>
      <c r="AB373" s="577"/>
      <c r="AC373" s="577">
        <f>AQ373</f>
        <v>0</v>
      </c>
      <c r="AD373" s="700"/>
      <c r="AE373" s="512">
        <f t="shared" si="164"/>
        <v>0</v>
      </c>
      <c r="AF373" s="520">
        <v>0</v>
      </c>
      <c r="AH373" s="512">
        <v>36012</v>
      </c>
      <c r="AJ373" s="513">
        <v>106.23302983559877</v>
      </c>
      <c r="AK373" s="514">
        <v>105.1948604625895</v>
      </c>
      <c r="AL373" s="513">
        <v>104.86113485125321</v>
      </c>
      <c r="AM373" s="512">
        <v>12</v>
      </c>
      <c r="AN373" s="512">
        <v>1000000</v>
      </c>
      <c r="AO373" s="512">
        <v>0.12</v>
      </c>
      <c r="AP373" s="523">
        <f>AE373*AH373*AL373%*AM373/AN373*AO373</f>
        <v>0</v>
      </c>
      <c r="AQ373" s="523">
        <f t="shared" si="170"/>
        <v>0</v>
      </c>
      <c r="AR373" s="523">
        <f t="shared" si="171"/>
        <v>0</v>
      </c>
      <c r="AS373" s="512">
        <v>0.18</v>
      </c>
      <c r="AT373" s="523">
        <f t="shared" si="169"/>
        <v>0</v>
      </c>
    </row>
    <row r="374" spans="1:46" ht="30.75" customHeight="1">
      <c r="A374" s="763">
        <v>2</v>
      </c>
      <c r="B374" s="742" t="s">
        <v>630</v>
      </c>
      <c r="C374" s="742" t="s">
        <v>853</v>
      </c>
      <c r="D374" s="568" t="s">
        <v>273</v>
      </c>
      <c r="E374" s="578">
        <f t="shared" si="184"/>
        <v>5.05</v>
      </c>
      <c r="F374" s="578"/>
      <c r="G374" s="569">
        <f aca="true" t="shared" si="185" ref="G374:Q374">SUM(G375:G377)</f>
        <v>0</v>
      </c>
      <c r="H374" s="586"/>
      <c r="I374" s="578">
        <f t="shared" si="185"/>
        <v>4.8</v>
      </c>
      <c r="J374" s="578"/>
      <c r="K374" s="575">
        <f t="shared" si="185"/>
        <v>0.25</v>
      </c>
      <c r="L374" s="575"/>
      <c r="M374" s="569">
        <f t="shared" si="185"/>
        <v>0</v>
      </c>
      <c r="N374" s="586"/>
      <c r="O374" s="569">
        <f t="shared" si="185"/>
        <v>0</v>
      </c>
      <c r="P374" s="569"/>
      <c r="Q374" s="569">
        <f t="shared" si="185"/>
        <v>0</v>
      </c>
      <c r="R374" s="569"/>
      <c r="S374" s="762" t="s">
        <v>581</v>
      </c>
      <c r="T374" s="762" t="s">
        <v>316</v>
      </c>
      <c r="U374" s="493">
        <f>SUM(U375:U377)</f>
        <v>20</v>
      </c>
      <c r="V374" s="493"/>
      <c r="W374" s="577">
        <f>SUM(W375:W377)</f>
        <v>1.6364238667138868</v>
      </c>
      <c r="X374" s="577"/>
      <c r="Y374" s="577">
        <f>SUM(Y375:Y377)</f>
        <v>0.5454</v>
      </c>
      <c r="Z374" s="577"/>
      <c r="AA374" s="577">
        <f>SUM(AA375:AA377)</f>
        <v>0.5914440381455981</v>
      </c>
      <c r="AB374" s="577"/>
      <c r="AC374" s="577">
        <f>SUM(AC375:AC377)</f>
        <v>0.4995798285682887</v>
      </c>
      <c r="AD374" s="700"/>
      <c r="AF374" s="520"/>
      <c r="AG374" s="520"/>
      <c r="AH374" s="512">
        <v>36012</v>
      </c>
      <c r="AJ374" s="513">
        <v>106.23302983559877</v>
      </c>
      <c r="AK374" s="514">
        <v>105.1948604625895</v>
      </c>
      <c r="AL374" s="513">
        <v>104.86113485125321</v>
      </c>
      <c r="AM374" s="512">
        <v>12</v>
      </c>
      <c r="AN374" s="512">
        <v>1000000</v>
      </c>
      <c r="AO374" s="512">
        <v>0.12</v>
      </c>
      <c r="AP374" s="523">
        <f>AE374*AH374*AJ374%*AM374/AN374*AO374</f>
        <v>0</v>
      </c>
      <c r="AQ374" s="523">
        <f t="shared" si="170"/>
        <v>0</v>
      </c>
      <c r="AR374" s="523">
        <f t="shared" si="171"/>
        <v>0</v>
      </c>
      <c r="AS374" s="512">
        <v>0.18</v>
      </c>
      <c r="AT374" s="523">
        <f t="shared" si="169"/>
        <v>0.5454</v>
      </c>
    </row>
    <row r="375" spans="1:46" ht="30.75" customHeight="1">
      <c r="A375" s="763"/>
      <c r="B375" s="742"/>
      <c r="C375" s="742"/>
      <c r="D375" s="489">
        <v>2013</v>
      </c>
      <c r="E375" s="578">
        <f t="shared" si="184"/>
        <v>0</v>
      </c>
      <c r="F375" s="578"/>
      <c r="G375" s="569">
        <v>0</v>
      </c>
      <c r="H375" s="586"/>
      <c r="I375" s="578">
        <v>0</v>
      </c>
      <c r="J375" s="578"/>
      <c r="K375" s="569">
        <v>0</v>
      </c>
      <c r="L375" s="569"/>
      <c r="M375" s="569">
        <v>0</v>
      </c>
      <c r="N375" s="586"/>
      <c r="O375" s="569">
        <v>0</v>
      </c>
      <c r="P375" s="569"/>
      <c r="Q375" s="569">
        <v>0</v>
      </c>
      <c r="R375" s="569"/>
      <c r="S375" s="762"/>
      <c r="T375" s="762"/>
      <c r="U375" s="493">
        <f>AE375</f>
        <v>0</v>
      </c>
      <c r="V375" s="493"/>
      <c r="W375" s="577">
        <f>SUM(Y375:AC375)</f>
        <v>0</v>
      </c>
      <c r="X375" s="577"/>
      <c r="Y375" s="577">
        <f>AT375</f>
        <v>0</v>
      </c>
      <c r="Z375" s="577"/>
      <c r="AA375" s="577">
        <f>AR375</f>
        <v>0</v>
      </c>
      <c r="AB375" s="577"/>
      <c r="AC375" s="577">
        <f>AQ375</f>
        <v>0</v>
      </c>
      <c r="AD375" s="700"/>
      <c r="AE375" s="512">
        <f t="shared" si="164"/>
        <v>0</v>
      </c>
      <c r="AF375" s="520">
        <v>0</v>
      </c>
      <c r="AH375" s="512">
        <v>36012</v>
      </c>
      <c r="AJ375" s="513">
        <v>106.23302983559877</v>
      </c>
      <c r="AK375" s="514">
        <v>105.1948604625895</v>
      </c>
      <c r="AL375" s="513">
        <v>104.86113485125321</v>
      </c>
      <c r="AM375" s="512">
        <v>12</v>
      </c>
      <c r="AN375" s="512">
        <v>1000000</v>
      </c>
      <c r="AO375" s="512">
        <v>0.12</v>
      </c>
      <c r="AP375" s="523">
        <f>AE375*AH375*AJ375%*AM375/AN375*AO375</f>
        <v>0</v>
      </c>
      <c r="AQ375" s="523">
        <f t="shared" si="170"/>
        <v>0</v>
      </c>
      <c r="AR375" s="523">
        <f t="shared" si="171"/>
        <v>0</v>
      </c>
      <c r="AS375" s="512">
        <v>0.18</v>
      </c>
      <c r="AT375" s="523">
        <f t="shared" si="169"/>
        <v>0</v>
      </c>
    </row>
    <row r="376" spans="1:46" ht="30.75" customHeight="1">
      <c r="A376" s="763"/>
      <c r="B376" s="742"/>
      <c r="C376" s="742"/>
      <c r="D376" s="568">
        <v>2014</v>
      </c>
      <c r="E376" s="578">
        <f t="shared" si="184"/>
        <v>5.05</v>
      </c>
      <c r="F376" s="578"/>
      <c r="G376" s="569">
        <v>0</v>
      </c>
      <c r="H376" s="586"/>
      <c r="I376" s="578">
        <v>4.8</v>
      </c>
      <c r="J376" s="578"/>
      <c r="K376" s="575">
        <v>0.25</v>
      </c>
      <c r="L376" s="575"/>
      <c r="M376" s="569">
        <v>0</v>
      </c>
      <c r="N376" s="586"/>
      <c r="O376" s="569">
        <v>0</v>
      </c>
      <c r="P376" s="569"/>
      <c r="Q376" s="569">
        <v>0</v>
      </c>
      <c r="R376" s="569"/>
      <c r="S376" s="762"/>
      <c r="T376" s="762"/>
      <c r="U376" s="493">
        <f>AE376</f>
        <v>20</v>
      </c>
      <c r="V376" s="493"/>
      <c r="W376" s="577">
        <f>SUM(Y376:AC376)</f>
        <v>1.6364238667138868</v>
      </c>
      <c r="X376" s="577"/>
      <c r="Y376" s="577">
        <f>AT376</f>
        <v>0.5454</v>
      </c>
      <c r="Z376" s="577"/>
      <c r="AA376" s="577">
        <f>AR376</f>
        <v>0.5914440381455981</v>
      </c>
      <c r="AB376" s="577"/>
      <c r="AC376" s="577">
        <f>AQ376</f>
        <v>0.4995798285682887</v>
      </c>
      <c r="AD376" s="700"/>
      <c r="AE376" s="512">
        <f t="shared" si="164"/>
        <v>20</v>
      </c>
      <c r="AF376" s="520">
        <v>0</v>
      </c>
      <c r="AG376" s="512">
        <v>20</v>
      </c>
      <c r="AH376" s="512">
        <v>36012</v>
      </c>
      <c r="AJ376" s="513">
        <v>106.23302983559877</v>
      </c>
      <c r="AK376" s="514">
        <v>105.1948604625895</v>
      </c>
      <c r="AL376" s="513">
        <v>104.86113485125321</v>
      </c>
      <c r="AM376" s="512">
        <v>12</v>
      </c>
      <c r="AN376" s="512">
        <v>1000000</v>
      </c>
      <c r="AO376" s="512">
        <v>0.12</v>
      </c>
      <c r="AP376" s="523">
        <f>AE376*AH376*AK376%*AM376/AN376*AO376</f>
        <v>1.0910238667138867</v>
      </c>
      <c r="AQ376" s="523">
        <f>AP376*0.4579</f>
        <v>0.4995798285682887</v>
      </c>
      <c r="AR376" s="523">
        <f t="shared" si="171"/>
        <v>0.5914440381455981</v>
      </c>
      <c r="AS376" s="512">
        <v>0.18</v>
      </c>
      <c r="AT376" s="523">
        <f t="shared" si="169"/>
        <v>0.5454</v>
      </c>
    </row>
    <row r="377" spans="1:46" ht="30.75" customHeight="1">
      <c r="A377" s="763"/>
      <c r="B377" s="742"/>
      <c r="C377" s="742"/>
      <c r="D377" s="489">
        <v>2015</v>
      </c>
      <c r="E377" s="578">
        <f t="shared" si="184"/>
        <v>0</v>
      </c>
      <c r="F377" s="578">
        <v>0</v>
      </c>
      <c r="G377" s="569">
        <v>0</v>
      </c>
      <c r="H377" s="586"/>
      <c r="I377" s="578">
        <v>0</v>
      </c>
      <c r="J377" s="578"/>
      <c r="K377" s="569">
        <v>0</v>
      </c>
      <c r="L377" s="569"/>
      <c r="M377" s="569">
        <v>0</v>
      </c>
      <c r="N377" s="586"/>
      <c r="O377" s="569">
        <v>0</v>
      </c>
      <c r="P377" s="569"/>
      <c r="Q377" s="569">
        <v>0</v>
      </c>
      <c r="R377" s="569"/>
      <c r="S377" s="762"/>
      <c r="T377" s="762"/>
      <c r="U377" s="493">
        <f>AE377</f>
        <v>0</v>
      </c>
      <c r="V377" s="493"/>
      <c r="W377" s="577">
        <f>SUM(Y377:AC377)</f>
        <v>0</v>
      </c>
      <c r="X377" s="577"/>
      <c r="Y377" s="577">
        <f>AT377</f>
        <v>0</v>
      </c>
      <c r="Z377" s="577"/>
      <c r="AA377" s="577">
        <f>AR377</f>
        <v>0</v>
      </c>
      <c r="AB377" s="577"/>
      <c r="AC377" s="577">
        <f>AQ377</f>
        <v>0</v>
      </c>
      <c r="AD377" s="700"/>
      <c r="AE377" s="512">
        <f t="shared" si="164"/>
        <v>0</v>
      </c>
      <c r="AF377" s="520">
        <v>0</v>
      </c>
      <c r="AH377" s="512">
        <v>36012</v>
      </c>
      <c r="AJ377" s="513">
        <v>106.23302983559877</v>
      </c>
      <c r="AK377" s="514">
        <v>105.1948604625895</v>
      </c>
      <c r="AL377" s="513">
        <v>104.86113485125321</v>
      </c>
      <c r="AM377" s="512">
        <v>12</v>
      </c>
      <c r="AN377" s="512">
        <v>1000000</v>
      </c>
      <c r="AO377" s="512">
        <v>0.12</v>
      </c>
      <c r="AP377" s="523">
        <f>AE377*AH377*AL377%*AM377/AN377*AO377</f>
        <v>0</v>
      </c>
      <c r="AQ377" s="523">
        <f t="shared" si="170"/>
        <v>0</v>
      </c>
      <c r="AR377" s="523">
        <f t="shared" si="171"/>
        <v>0</v>
      </c>
      <c r="AS377" s="512">
        <v>0.18</v>
      </c>
      <c r="AT377" s="523">
        <f t="shared" si="169"/>
        <v>0</v>
      </c>
    </row>
    <row r="378" spans="1:46" s="553" customFormat="1" ht="18" customHeight="1">
      <c r="A378" s="777" t="s">
        <v>339</v>
      </c>
      <c r="B378" s="777"/>
      <c r="C378" s="777"/>
      <c r="D378" s="777"/>
      <c r="E378" s="777"/>
      <c r="F378" s="777"/>
      <c r="G378" s="777"/>
      <c r="H378" s="777"/>
      <c r="I378" s="777"/>
      <c r="J378" s="777"/>
      <c r="K378" s="777"/>
      <c r="L378" s="777"/>
      <c r="M378" s="777"/>
      <c r="N378" s="777"/>
      <c r="O378" s="777"/>
      <c r="P378" s="777"/>
      <c r="Q378" s="777"/>
      <c r="R378" s="777"/>
      <c r="S378" s="777"/>
      <c r="T378" s="777"/>
      <c r="U378" s="777"/>
      <c r="V378" s="777"/>
      <c r="W378" s="777"/>
      <c r="X378" s="777"/>
      <c r="Y378" s="777"/>
      <c r="Z378" s="777"/>
      <c r="AA378" s="777"/>
      <c r="AB378" s="777"/>
      <c r="AC378" s="777"/>
      <c r="AD378" s="696"/>
      <c r="AE378" s="554"/>
      <c r="AF378" s="554"/>
      <c r="AG378" s="554"/>
      <c r="AH378" s="554">
        <v>36012</v>
      </c>
      <c r="AI378" s="554"/>
      <c r="AJ378" s="555">
        <v>106.23302983559877</v>
      </c>
      <c r="AK378" s="556">
        <v>105.1948604625895</v>
      </c>
      <c r="AL378" s="555">
        <v>104.86113485125321</v>
      </c>
      <c r="AM378" s="554">
        <v>12</v>
      </c>
      <c r="AN378" s="554">
        <v>1000000</v>
      </c>
      <c r="AO378" s="554">
        <v>0.12</v>
      </c>
      <c r="AP378" s="563">
        <f>AE378*AH378*AJ378%*AM378/AN378*AO378</f>
        <v>0</v>
      </c>
      <c r="AQ378" s="563">
        <f t="shared" si="170"/>
        <v>0</v>
      </c>
      <c r="AR378" s="563">
        <f t="shared" si="171"/>
        <v>0</v>
      </c>
      <c r="AS378" s="554">
        <v>0.18</v>
      </c>
      <c r="AT378" s="563">
        <f t="shared" si="169"/>
        <v>0</v>
      </c>
    </row>
    <row r="379" spans="1:46" s="553" customFormat="1" ht="18.75" customHeight="1">
      <c r="A379" s="736"/>
      <c r="B379" s="771" t="s">
        <v>340</v>
      </c>
      <c r="C379" s="771"/>
      <c r="D379" s="558" t="s">
        <v>273</v>
      </c>
      <c r="E379" s="594">
        <f>G379+I379+K379+M379+O379+Q379</f>
        <v>634.5</v>
      </c>
      <c r="F379" s="594">
        <f>SUM(F380:F382)</f>
        <v>918.4910000000001</v>
      </c>
      <c r="G379" s="620">
        <f aca="true" t="shared" si="186" ref="G379:Q379">SUM(G380:G382)</f>
        <v>0</v>
      </c>
      <c r="H379" s="685">
        <f>SUM(H380:H382)</f>
        <v>259.276</v>
      </c>
      <c r="I379" s="594">
        <f t="shared" si="186"/>
        <v>513</v>
      </c>
      <c r="J379" s="594">
        <f>SUM(J380:J382)</f>
        <v>585.1</v>
      </c>
      <c r="K379" s="620">
        <f t="shared" si="186"/>
        <v>121.5</v>
      </c>
      <c r="L379" s="620">
        <f>SUM(L380:L382)</f>
        <v>1.7967</v>
      </c>
      <c r="M379" s="620">
        <f t="shared" si="186"/>
        <v>0</v>
      </c>
      <c r="N379" s="685">
        <f>SUM(N380:N382)</f>
        <v>72.3</v>
      </c>
      <c r="O379" s="620">
        <f t="shared" si="186"/>
        <v>0</v>
      </c>
      <c r="P379" s="620">
        <f>SUM(P380:P382)</f>
        <v>0</v>
      </c>
      <c r="Q379" s="620">
        <f t="shared" si="186"/>
        <v>0</v>
      </c>
      <c r="R379" s="620">
        <f>SUM(R380:R382)</f>
        <v>0</v>
      </c>
      <c r="S379" s="766" t="s">
        <v>581</v>
      </c>
      <c r="T379" s="829"/>
      <c r="U379" s="559">
        <f aca="true" t="shared" si="187" ref="U379:AD379">SUM(U380:U382)</f>
        <v>352</v>
      </c>
      <c r="V379" s="620">
        <f t="shared" si="187"/>
        <v>0</v>
      </c>
      <c r="W379" s="594">
        <f>SUM(W380:W382)</f>
        <v>87.75789603440353</v>
      </c>
      <c r="X379" s="594">
        <f t="shared" si="187"/>
        <v>36.730000000000004</v>
      </c>
      <c r="Y379" s="594">
        <f t="shared" si="187"/>
        <v>68.526</v>
      </c>
      <c r="Z379" s="594">
        <f t="shared" si="187"/>
        <v>36.7</v>
      </c>
      <c r="AA379" s="594">
        <f t="shared" si="187"/>
        <v>10.42561084025016</v>
      </c>
      <c r="AB379" s="594">
        <f t="shared" si="187"/>
        <v>0.041999999999999996</v>
      </c>
      <c r="AC379" s="594">
        <f t="shared" si="187"/>
        <v>8.806285194153382</v>
      </c>
      <c r="AD379" s="685">
        <f t="shared" si="187"/>
        <v>0.032</v>
      </c>
      <c r="AE379" s="554"/>
      <c r="AF379" s="677">
        <f>SUM(AF380:AF382)</f>
        <v>2</v>
      </c>
      <c r="AG379" s="677">
        <f>SUM(AG380:AG382)</f>
        <v>350</v>
      </c>
      <c r="AH379" s="554">
        <v>36012</v>
      </c>
      <c r="AI379" s="554"/>
      <c r="AJ379" s="555">
        <v>106.23302983559877</v>
      </c>
      <c r="AK379" s="556">
        <v>105.1948604625895</v>
      </c>
      <c r="AL379" s="555">
        <v>104.86113485125321</v>
      </c>
      <c r="AM379" s="554">
        <v>12</v>
      </c>
      <c r="AN379" s="554">
        <v>1000000</v>
      </c>
      <c r="AO379" s="554">
        <v>0.12</v>
      </c>
      <c r="AP379" s="563">
        <f>AE379*AH379*AJ379%*AM379/AN379*AO379</f>
        <v>0</v>
      </c>
      <c r="AQ379" s="563">
        <f t="shared" si="170"/>
        <v>0</v>
      </c>
      <c r="AR379" s="563">
        <f t="shared" si="171"/>
        <v>0</v>
      </c>
      <c r="AS379" s="554">
        <v>0.18</v>
      </c>
      <c r="AT379" s="563">
        <f t="shared" si="169"/>
        <v>68.526</v>
      </c>
    </row>
    <row r="380" spans="1:46" s="553" customFormat="1" ht="78.75" customHeight="1">
      <c r="A380" s="737"/>
      <c r="B380" s="771"/>
      <c r="C380" s="771"/>
      <c r="D380" s="558">
        <v>2013</v>
      </c>
      <c r="E380" s="594">
        <f>I380+K380</f>
        <v>318.5</v>
      </c>
      <c r="F380" s="594">
        <f>F384+F388+F392+F396</f>
        <v>713.8910000000001</v>
      </c>
      <c r="G380" s="620">
        <f aca="true" t="shared" si="188" ref="G380:Q380">G384+G388+G392+G396</f>
        <v>0</v>
      </c>
      <c r="H380" s="685">
        <f>H384+H388+H392+H396</f>
        <v>55.7</v>
      </c>
      <c r="I380" s="594">
        <f t="shared" si="188"/>
        <v>313</v>
      </c>
      <c r="J380" s="594">
        <f>J384+J388+J392+J396</f>
        <v>585.1</v>
      </c>
      <c r="K380" s="620">
        <f t="shared" si="188"/>
        <v>5.5</v>
      </c>
      <c r="L380" s="620">
        <f>L384+L388+L392+L396</f>
        <v>0.791</v>
      </c>
      <c r="M380" s="620">
        <f t="shared" si="188"/>
        <v>0</v>
      </c>
      <c r="N380" s="685">
        <f>N384+N388+N392+N396</f>
        <v>72.3</v>
      </c>
      <c r="O380" s="620">
        <f t="shared" si="188"/>
        <v>0</v>
      </c>
      <c r="P380" s="620">
        <f>P384+P388+P392+P396</f>
        <v>0</v>
      </c>
      <c r="Q380" s="620">
        <f t="shared" si="188"/>
        <v>0</v>
      </c>
      <c r="R380" s="620">
        <f>R384+R388+R392+R396</f>
        <v>0</v>
      </c>
      <c r="S380" s="766"/>
      <c r="T380" s="829"/>
      <c r="U380" s="559">
        <f>U384+U388+U392+U396</f>
        <v>172</v>
      </c>
      <c r="V380" s="559" t="s">
        <v>809</v>
      </c>
      <c r="W380" s="594">
        <f>Y380+AA380+AC380</f>
        <v>43.810681233978556</v>
      </c>
      <c r="X380" s="594">
        <f>X384+X388+X392+X396</f>
        <v>0.03</v>
      </c>
      <c r="Y380" s="594">
        <f>Y384+Y388+Y392+Y396</f>
        <v>34.397999999999996</v>
      </c>
      <c r="Z380" s="594">
        <f>Z384+Z388+Z392+Z396</f>
        <v>0</v>
      </c>
      <c r="AA380" s="594">
        <f aca="true" t="shared" si="189" ref="Y380:AC382">AA384+AA388+AA392+AA396</f>
        <v>5.102614496939778</v>
      </c>
      <c r="AB380" s="594">
        <f>AB384+AB388+AB392+AB396</f>
        <v>0.016</v>
      </c>
      <c r="AC380" s="594">
        <f t="shared" si="189"/>
        <v>4.310066737038783</v>
      </c>
      <c r="AD380" s="708">
        <f>AD384+AD388+AD392+AD396</f>
        <v>0.014</v>
      </c>
      <c r="AE380" s="554"/>
      <c r="AF380" s="677">
        <f aca="true" t="shared" si="190" ref="AF380:AG382">AF384+AF388+AF392+AF396</f>
        <v>2</v>
      </c>
      <c r="AG380" s="677">
        <f t="shared" si="190"/>
        <v>170</v>
      </c>
      <c r="AH380" s="554">
        <v>36012</v>
      </c>
      <c r="AI380" s="554"/>
      <c r="AJ380" s="555">
        <v>106.23302983559877</v>
      </c>
      <c r="AK380" s="556">
        <v>105.1948604625895</v>
      </c>
      <c r="AL380" s="555">
        <v>104.86113485125321</v>
      </c>
      <c r="AM380" s="554">
        <v>12</v>
      </c>
      <c r="AN380" s="554">
        <v>1000000</v>
      </c>
      <c r="AO380" s="554">
        <v>0.12</v>
      </c>
      <c r="AP380" s="563">
        <f>AE380*AH380*AJ380%*AM380/AN380*AO380</f>
        <v>0</v>
      </c>
      <c r="AQ380" s="563">
        <f t="shared" si="170"/>
        <v>0</v>
      </c>
      <c r="AR380" s="563">
        <f t="shared" si="171"/>
        <v>0</v>
      </c>
      <c r="AS380" s="554">
        <v>0.18</v>
      </c>
      <c r="AT380" s="563">
        <f t="shared" si="169"/>
        <v>34.397999999999996</v>
      </c>
    </row>
    <row r="381" spans="1:46" s="553" customFormat="1" ht="18.75" customHeight="1">
      <c r="A381" s="737"/>
      <c r="B381" s="771"/>
      <c r="C381" s="771"/>
      <c r="D381" s="558">
        <v>2014</v>
      </c>
      <c r="E381" s="594">
        <f>G381+I381+K381</f>
        <v>316</v>
      </c>
      <c r="F381" s="594">
        <f>F385+F389+F393+F397</f>
        <v>204.6</v>
      </c>
      <c r="G381" s="620">
        <f aca="true" t="shared" si="191" ref="G381:Q381">G385+G389+G393+G397</f>
        <v>0</v>
      </c>
      <c r="H381" s="685">
        <f>H385+H389+H393+H397</f>
        <v>203.576</v>
      </c>
      <c r="I381" s="594">
        <f t="shared" si="191"/>
        <v>200</v>
      </c>
      <c r="J381" s="594"/>
      <c r="K381" s="620">
        <f t="shared" si="191"/>
        <v>116</v>
      </c>
      <c r="L381" s="620">
        <f>L385+L389+L393+L397</f>
        <v>1.0057</v>
      </c>
      <c r="M381" s="620">
        <f t="shared" si="191"/>
        <v>0</v>
      </c>
      <c r="N381" s="685">
        <f>N385+N389+N393+N397</f>
        <v>0</v>
      </c>
      <c r="O381" s="620">
        <f t="shared" si="191"/>
        <v>0</v>
      </c>
      <c r="P381" s="620">
        <f>P385+P389+P393+P397</f>
        <v>0</v>
      </c>
      <c r="Q381" s="620">
        <f t="shared" si="191"/>
        <v>0</v>
      </c>
      <c r="R381" s="620"/>
      <c r="S381" s="766"/>
      <c r="T381" s="829"/>
      <c r="U381" s="559">
        <f>U385+U389+U393+U397</f>
        <v>180</v>
      </c>
      <c r="V381" s="620" t="s">
        <v>816</v>
      </c>
      <c r="W381" s="594">
        <f>Y381+AA381+AC381</f>
        <v>43.94721480042498</v>
      </c>
      <c r="X381" s="594">
        <f>X385+X389+X393+X397</f>
        <v>36.7</v>
      </c>
      <c r="Y381" s="594">
        <f t="shared" si="189"/>
        <v>34.128</v>
      </c>
      <c r="Z381" s="594">
        <f>Z385+Z389</f>
        <v>36.7</v>
      </c>
      <c r="AA381" s="594">
        <f t="shared" si="189"/>
        <v>5.322996343310382</v>
      </c>
      <c r="AB381" s="594">
        <f>AB385+AB389+AB393+AB397</f>
        <v>0.026</v>
      </c>
      <c r="AC381" s="594">
        <f t="shared" si="189"/>
        <v>4.496218457114598</v>
      </c>
      <c r="AD381" s="685">
        <f>AD385+AD389+AD393+AD397</f>
        <v>0.018</v>
      </c>
      <c r="AE381" s="554"/>
      <c r="AF381" s="677">
        <f t="shared" si="190"/>
        <v>0</v>
      </c>
      <c r="AG381" s="677">
        <f t="shared" si="190"/>
        <v>180</v>
      </c>
      <c r="AH381" s="554">
        <v>36012</v>
      </c>
      <c r="AI381" s="554"/>
      <c r="AJ381" s="555">
        <v>106.23302983559877</v>
      </c>
      <c r="AK381" s="556">
        <v>105.1948604625895</v>
      </c>
      <c r="AL381" s="555">
        <v>104.86113485125321</v>
      </c>
      <c r="AM381" s="554">
        <v>12</v>
      </c>
      <c r="AN381" s="554">
        <v>1000000</v>
      </c>
      <c r="AO381" s="554">
        <v>0.12</v>
      </c>
      <c r="AP381" s="563">
        <f>AE381*AH381*AK381%*AM381/AN381*AO381</f>
        <v>0</v>
      </c>
      <c r="AQ381" s="563">
        <f t="shared" si="170"/>
        <v>0</v>
      </c>
      <c r="AR381" s="563">
        <f t="shared" si="171"/>
        <v>0</v>
      </c>
      <c r="AS381" s="554">
        <v>0.18</v>
      </c>
      <c r="AT381" s="563">
        <f t="shared" si="169"/>
        <v>34.128</v>
      </c>
    </row>
    <row r="382" spans="1:46" s="553" customFormat="1" ht="18.75" customHeight="1">
      <c r="A382" s="840"/>
      <c r="B382" s="771"/>
      <c r="C382" s="771"/>
      <c r="D382" s="678">
        <v>2015</v>
      </c>
      <c r="E382" s="594">
        <f aca="true" t="shared" si="192" ref="E382:E398">SUM(G382:Q382)</f>
        <v>0</v>
      </c>
      <c r="F382" s="594">
        <f>F386+F390+F394+F398</f>
        <v>0</v>
      </c>
      <c r="G382" s="620">
        <f aca="true" t="shared" si="193" ref="G382:Q382">G386+G390+G394+G398</f>
        <v>0</v>
      </c>
      <c r="H382" s="685">
        <f>H386+H390+H394+H398</f>
        <v>0</v>
      </c>
      <c r="I382" s="594">
        <f t="shared" si="193"/>
        <v>0</v>
      </c>
      <c r="J382" s="594">
        <f>J386+J390+J394+J398</f>
        <v>0</v>
      </c>
      <c r="K382" s="620">
        <f t="shared" si="193"/>
        <v>0</v>
      </c>
      <c r="L382" s="620">
        <f>L386+L390+L394+L398</f>
        <v>0</v>
      </c>
      <c r="M382" s="620">
        <f t="shared" si="193"/>
        <v>0</v>
      </c>
      <c r="N382" s="685">
        <f>N386+N390+N394+N398</f>
        <v>0</v>
      </c>
      <c r="O382" s="620">
        <f t="shared" si="193"/>
        <v>0</v>
      </c>
      <c r="P382" s="620">
        <f>P386+P390+P394+P398</f>
        <v>0</v>
      </c>
      <c r="Q382" s="620">
        <f t="shared" si="193"/>
        <v>0</v>
      </c>
      <c r="R382" s="620">
        <f>R386+R390+R394+R398</f>
        <v>0</v>
      </c>
      <c r="S382" s="766"/>
      <c r="T382" s="829"/>
      <c r="U382" s="559">
        <f>U386+U390+U394+U398</f>
        <v>0</v>
      </c>
      <c r="V382" s="620">
        <f>V386+V390+V394+V398</f>
        <v>0</v>
      </c>
      <c r="W382" s="594">
        <f>SUM(Y382:AC382)</f>
        <v>0</v>
      </c>
      <c r="X382" s="594">
        <f>X386+X390+X394+X398</f>
        <v>0</v>
      </c>
      <c r="Y382" s="594">
        <f t="shared" si="189"/>
        <v>0</v>
      </c>
      <c r="Z382" s="594">
        <f>Z386+Z390+Z394+Z398</f>
        <v>0</v>
      </c>
      <c r="AA382" s="594">
        <f t="shared" si="189"/>
        <v>0</v>
      </c>
      <c r="AB382" s="594">
        <f>AB386+AB390+AB394+AB398</f>
        <v>0</v>
      </c>
      <c r="AC382" s="594">
        <f t="shared" si="189"/>
        <v>0</v>
      </c>
      <c r="AD382" s="685">
        <f>AD386+AD390+AD394+AD398</f>
        <v>0</v>
      </c>
      <c r="AE382" s="554"/>
      <c r="AF382" s="677">
        <f t="shared" si="190"/>
        <v>0</v>
      </c>
      <c r="AG382" s="677">
        <f t="shared" si="190"/>
        <v>0</v>
      </c>
      <c r="AH382" s="554">
        <v>36012</v>
      </c>
      <c r="AI382" s="554"/>
      <c r="AJ382" s="555">
        <v>106.23302983559877</v>
      </c>
      <c r="AK382" s="556">
        <v>105.1948604625895</v>
      </c>
      <c r="AL382" s="555">
        <v>104.86113485125321</v>
      </c>
      <c r="AM382" s="554">
        <v>12</v>
      </c>
      <c r="AN382" s="554">
        <v>1000000</v>
      </c>
      <c r="AO382" s="554">
        <v>0.12</v>
      </c>
      <c r="AP382" s="563">
        <f>AE382*AH382*AL382%*AM382/AN382*AO382</f>
        <v>0</v>
      </c>
      <c r="AQ382" s="563">
        <f t="shared" si="170"/>
        <v>0</v>
      </c>
      <c r="AR382" s="563">
        <f t="shared" si="171"/>
        <v>0</v>
      </c>
      <c r="AS382" s="554">
        <v>0.18</v>
      </c>
      <c r="AT382" s="563">
        <f t="shared" si="169"/>
        <v>0</v>
      </c>
    </row>
    <row r="383" spans="1:46" ht="27" customHeight="1">
      <c r="A383" s="763">
        <v>1</v>
      </c>
      <c r="B383" s="742" t="s">
        <v>859</v>
      </c>
      <c r="C383" s="742" t="s">
        <v>343</v>
      </c>
      <c r="D383" s="568" t="s">
        <v>273</v>
      </c>
      <c r="E383" s="578">
        <f t="shared" si="192"/>
        <v>160</v>
      </c>
      <c r="F383" s="578"/>
      <c r="G383" s="569">
        <f aca="true" t="shared" si="194" ref="G383:Q383">SUM(G384:G386)</f>
        <v>0</v>
      </c>
      <c r="H383" s="586"/>
      <c r="I383" s="578">
        <f t="shared" si="194"/>
        <v>100</v>
      </c>
      <c r="J383" s="578"/>
      <c r="K383" s="569">
        <f t="shared" si="194"/>
        <v>60</v>
      </c>
      <c r="L383" s="569"/>
      <c r="M383" s="569">
        <f t="shared" si="194"/>
        <v>0</v>
      </c>
      <c r="N383" s="586"/>
      <c r="O383" s="569">
        <f t="shared" si="194"/>
        <v>0</v>
      </c>
      <c r="P383" s="569"/>
      <c r="Q383" s="569">
        <f t="shared" si="194"/>
        <v>0</v>
      </c>
      <c r="R383" s="569"/>
      <c r="S383" s="762" t="s">
        <v>581</v>
      </c>
      <c r="T383" s="783" t="s">
        <v>317</v>
      </c>
      <c r="U383" s="493">
        <f>SUM(U384:U386)</f>
        <v>100</v>
      </c>
      <c r="V383" s="493"/>
      <c r="W383" s="577">
        <f>SUM(W384:W386)</f>
        <v>22.74050299755579</v>
      </c>
      <c r="X383" s="577"/>
      <c r="Y383" s="577">
        <f>SUM(Y384:Y386)</f>
        <v>17.28</v>
      </c>
      <c r="Z383" s="577"/>
      <c r="AA383" s="577">
        <f>SUM(AA384:AA386)</f>
        <v>2.960138674974994</v>
      </c>
      <c r="AB383" s="577"/>
      <c r="AC383" s="577">
        <f>SUM(AC384:AC386)</f>
        <v>2.500364322580796</v>
      </c>
      <c r="AD383" s="700"/>
      <c r="AF383" s="520"/>
      <c r="AG383" s="520"/>
      <c r="AH383" s="512">
        <v>36012</v>
      </c>
      <c r="AJ383" s="513">
        <v>106.23302983559877</v>
      </c>
      <c r="AK383" s="514">
        <v>105.1948604625895</v>
      </c>
      <c r="AL383" s="513">
        <v>104.86113485125321</v>
      </c>
      <c r="AM383" s="512">
        <v>12</v>
      </c>
      <c r="AN383" s="512">
        <v>1000000</v>
      </c>
      <c r="AO383" s="512">
        <v>0.12</v>
      </c>
      <c r="AP383" s="523">
        <f>AE383*AH383*AJ383%*AM383/AN383*AO383</f>
        <v>0</v>
      </c>
      <c r="AQ383" s="523">
        <f t="shared" si="170"/>
        <v>0</v>
      </c>
      <c r="AR383" s="523">
        <f t="shared" si="171"/>
        <v>0</v>
      </c>
      <c r="AS383" s="512">
        <v>0.18</v>
      </c>
      <c r="AT383" s="523">
        <f t="shared" si="169"/>
        <v>17.28</v>
      </c>
    </row>
    <row r="384" spans="1:46" ht="27" customHeight="1">
      <c r="A384" s="763"/>
      <c r="B384" s="742"/>
      <c r="C384" s="742"/>
      <c r="D384" s="491">
        <v>2013</v>
      </c>
      <c r="E384" s="578">
        <f>G384+I384+K384+M384+O384+Q384</f>
        <v>2</v>
      </c>
      <c r="F384" s="578">
        <v>14.7</v>
      </c>
      <c r="G384" s="569">
        <v>0</v>
      </c>
      <c r="H384" s="586"/>
      <c r="I384" s="578">
        <v>0</v>
      </c>
      <c r="J384" s="578"/>
      <c r="K384" s="569">
        <v>2</v>
      </c>
      <c r="L384" s="569"/>
      <c r="M384" s="569">
        <v>0</v>
      </c>
      <c r="N384" s="586">
        <v>14.7</v>
      </c>
      <c r="O384" s="569">
        <v>0</v>
      </c>
      <c r="P384" s="569"/>
      <c r="Q384" s="569">
        <v>0</v>
      </c>
      <c r="R384" s="569"/>
      <c r="S384" s="762"/>
      <c r="T384" s="784"/>
      <c r="U384" s="493">
        <f>AE384</f>
        <v>10</v>
      </c>
      <c r="V384" s="493" t="s">
        <v>801</v>
      </c>
      <c r="W384" s="577">
        <f>SUM(Y384:AC384)</f>
        <v>0.7668955973433</v>
      </c>
      <c r="X384" s="577"/>
      <c r="Y384" s="577">
        <f>AT384</f>
        <v>0.216</v>
      </c>
      <c r="Z384" s="577"/>
      <c r="AA384" s="577">
        <f>AR384</f>
        <v>0.2986405033198029</v>
      </c>
      <c r="AB384" s="577"/>
      <c r="AC384" s="577">
        <f>AQ384</f>
        <v>0.25225509402349705</v>
      </c>
      <c r="AD384" s="700"/>
      <c r="AE384" s="512">
        <f t="shared" si="164"/>
        <v>10</v>
      </c>
      <c r="AF384" s="520">
        <v>0</v>
      </c>
      <c r="AG384" s="512">
        <v>10</v>
      </c>
      <c r="AH384" s="512">
        <v>36012</v>
      </c>
      <c r="AJ384" s="513">
        <v>106.23302983559877</v>
      </c>
      <c r="AK384" s="514">
        <v>105.1948604625895</v>
      </c>
      <c r="AL384" s="513">
        <v>104.86113485125321</v>
      </c>
      <c r="AM384" s="512">
        <v>12</v>
      </c>
      <c r="AN384" s="512">
        <v>1000000</v>
      </c>
      <c r="AO384" s="512">
        <v>0.12</v>
      </c>
      <c r="AP384" s="523">
        <f>AE384*AH384*AJ384%*AM384/AN384*AO384</f>
        <v>0.5508955973433</v>
      </c>
      <c r="AQ384" s="523">
        <f t="shared" si="170"/>
        <v>0.25225509402349705</v>
      </c>
      <c r="AR384" s="523">
        <f t="shared" si="171"/>
        <v>0.2986405033198029</v>
      </c>
      <c r="AS384" s="512">
        <v>0.18</v>
      </c>
      <c r="AT384" s="523">
        <f t="shared" si="169"/>
        <v>0.216</v>
      </c>
    </row>
    <row r="385" spans="1:46" ht="27" customHeight="1">
      <c r="A385" s="763"/>
      <c r="B385" s="742"/>
      <c r="C385" s="742"/>
      <c r="D385" s="491">
        <v>2014</v>
      </c>
      <c r="E385" s="578">
        <v>158</v>
      </c>
      <c r="F385" s="578">
        <v>101</v>
      </c>
      <c r="G385" s="569">
        <v>0</v>
      </c>
      <c r="H385" s="586">
        <v>100.476</v>
      </c>
      <c r="I385" s="578">
        <v>100</v>
      </c>
      <c r="J385" s="578"/>
      <c r="K385" s="569">
        <v>58</v>
      </c>
      <c r="L385" s="569">
        <v>0.5057</v>
      </c>
      <c r="M385" s="569">
        <v>0</v>
      </c>
      <c r="N385" s="586"/>
      <c r="O385" s="569">
        <v>0</v>
      </c>
      <c r="P385" s="569"/>
      <c r="Q385" s="569">
        <v>0</v>
      </c>
      <c r="R385" s="569"/>
      <c r="S385" s="762"/>
      <c r="T385" s="784"/>
      <c r="U385" s="493">
        <f aca="true" t="shared" si="195" ref="U385:U398">AE385</f>
        <v>90</v>
      </c>
      <c r="V385" s="493" t="s">
        <v>815</v>
      </c>
      <c r="W385" s="577">
        <f>Y385+AA385+AC385</f>
        <v>21.97360740021249</v>
      </c>
      <c r="X385" s="577">
        <v>18.1</v>
      </c>
      <c r="Y385" s="577">
        <f>AT385</f>
        <v>17.064</v>
      </c>
      <c r="Z385" s="577">
        <v>18.1</v>
      </c>
      <c r="AA385" s="577">
        <f>AR385</f>
        <v>2.661498171655191</v>
      </c>
      <c r="AB385" s="577"/>
      <c r="AC385" s="577">
        <f>AQ385</f>
        <v>2.248109228557299</v>
      </c>
      <c r="AD385" s="704"/>
      <c r="AE385" s="512">
        <f t="shared" si="164"/>
        <v>90</v>
      </c>
      <c r="AF385" s="520">
        <v>0</v>
      </c>
      <c r="AG385" s="512">
        <v>90</v>
      </c>
      <c r="AH385" s="512">
        <v>36012</v>
      </c>
      <c r="AJ385" s="513">
        <v>106.23302983559877</v>
      </c>
      <c r="AK385" s="514">
        <v>105.1948604625895</v>
      </c>
      <c r="AL385" s="513">
        <v>104.86113485125321</v>
      </c>
      <c r="AM385" s="512">
        <v>12</v>
      </c>
      <c r="AN385" s="512">
        <v>1000000</v>
      </c>
      <c r="AO385" s="512">
        <v>0.12</v>
      </c>
      <c r="AP385" s="523">
        <f>AE385*AH385*AK385%*AM385/AN385*AO385</f>
        <v>4.90960740021249</v>
      </c>
      <c r="AQ385" s="523">
        <f t="shared" si="170"/>
        <v>2.248109228557299</v>
      </c>
      <c r="AR385" s="523">
        <f t="shared" si="171"/>
        <v>2.661498171655191</v>
      </c>
      <c r="AS385" s="512">
        <v>0.18</v>
      </c>
      <c r="AT385" s="523">
        <f t="shared" si="169"/>
        <v>17.064</v>
      </c>
    </row>
    <row r="386" spans="1:46" ht="27" customHeight="1">
      <c r="A386" s="763"/>
      <c r="B386" s="742"/>
      <c r="C386" s="742"/>
      <c r="D386" s="489">
        <v>2015</v>
      </c>
      <c r="E386" s="578">
        <f t="shared" si="192"/>
        <v>0</v>
      </c>
      <c r="F386" s="578">
        <v>0</v>
      </c>
      <c r="G386" s="569">
        <v>0</v>
      </c>
      <c r="H386" s="586"/>
      <c r="I386" s="578">
        <v>0</v>
      </c>
      <c r="J386" s="578"/>
      <c r="K386" s="569">
        <v>0</v>
      </c>
      <c r="L386" s="569"/>
      <c r="M386" s="569">
        <v>0</v>
      </c>
      <c r="N386" s="586"/>
      <c r="O386" s="569">
        <v>0</v>
      </c>
      <c r="P386" s="569"/>
      <c r="Q386" s="569">
        <v>0</v>
      </c>
      <c r="R386" s="569"/>
      <c r="S386" s="762"/>
      <c r="T386" s="785"/>
      <c r="U386" s="493">
        <f t="shared" si="195"/>
        <v>0</v>
      </c>
      <c r="V386" s="493"/>
      <c r="W386" s="577">
        <f>SUM(Y386:AC386)</f>
        <v>0</v>
      </c>
      <c r="X386" s="577"/>
      <c r="Y386" s="577">
        <f>AT386</f>
        <v>0</v>
      </c>
      <c r="Z386" s="577"/>
      <c r="AA386" s="577">
        <f>AR386</f>
        <v>0</v>
      </c>
      <c r="AB386" s="577"/>
      <c r="AC386" s="577">
        <f>AQ386</f>
        <v>0</v>
      </c>
      <c r="AD386" s="700"/>
      <c r="AE386" s="512">
        <f t="shared" si="164"/>
        <v>0</v>
      </c>
      <c r="AF386" s="520">
        <v>0</v>
      </c>
      <c r="AG386" s="520">
        <v>0</v>
      </c>
      <c r="AH386" s="512">
        <v>36012</v>
      </c>
      <c r="AJ386" s="513">
        <v>106.23302983559877</v>
      </c>
      <c r="AK386" s="514">
        <v>105.1948604625895</v>
      </c>
      <c r="AL386" s="513">
        <v>104.86113485125321</v>
      </c>
      <c r="AM386" s="512">
        <v>12</v>
      </c>
      <c r="AN386" s="512">
        <v>1000000</v>
      </c>
      <c r="AO386" s="512">
        <v>0.12</v>
      </c>
      <c r="AP386" s="523">
        <f>AE386*AH386*AL386%*AM386/AN386*AO386</f>
        <v>0</v>
      </c>
      <c r="AQ386" s="523">
        <f t="shared" si="170"/>
        <v>0</v>
      </c>
      <c r="AR386" s="523">
        <f t="shared" si="171"/>
        <v>0</v>
      </c>
      <c r="AS386" s="512">
        <v>0.18</v>
      </c>
      <c r="AT386" s="523">
        <f t="shared" si="169"/>
        <v>0</v>
      </c>
    </row>
    <row r="387" spans="1:46" ht="27" customHeight="1">
      <c r="A387" s="763">
        <v>2</v>
      </c>
      <c r="B387" s="742" t="s">
        <v>860</v>
      </c>
      <c r="C387" s="742" t="s">
        <v>343</v>
      </c>
      <c r="D387" s="568" t="s">
        <v>273</v>
      </c>
      <c r="E387" s="578">
        <f t="shared" si="192"/>
        <v>160</v>
      </c>
      <c r="F387" s="578"/>
      <c r="G387" s="569">
        <f aca="true" t="shared" si="196" ref="G387:Q387">SUM(G388:G390)</f>
        <v>0</v>
      </c>
      <c r="H387" s="586"/>
      <c r="I387" s="578">
        <f t="shared" si="196"/>
        <v>100</v>
      </c>
      <c r="J387" s="578"/>
      <c r="K387" s="569">
        <f t="shared" si="196"/>
        <v>60</v>
      </c>
      <c r="L387" s="569"/>
      <c r="M387" s="569">
        <f t="shared" si="196"/>
        <v>0</v>
      </c>
      <c r="N387" s="586"/>
      <c r="O387" s="569">
        <f t="shared" si="196"/>
        <v>0</v>
      </c>
      <c r="P387" s="569"/>
      <c r="Q387" s="569">
        <f t="shared" si="196"/>
        <v>0</v>
      </c>
      <c r="R387" s="569"/>
      <c r="S387" s="762" t="s">
        <v>581</v>
      </c>
      <c r="T387" s="783" t="s">
        <v>317</v>
      </c>
      <c r="U387" s="493">
        <f>SUM(U388:U390)</f>
        <v>100</v>
      </c>
      <c r="V387" s="493"/>
      <c r="W387" s="577">
        <f>SUM(W388:W390)</f>
        <v>22.74050299755579</v>
      </c>
      <c r="X387" s="577"/>
      <c r="Y387" s="577">
        <f>SUM(Y388:Y390)</f>
        <v>17.28</v>
      </c>
      <c r="Z387" s="577"/>
      <c r="AA387" s="577">
        <f>SUM(AA388:AA390)</f>
        <v>2.960138674974994</v>
      </c>
      <c r="AB387" s="577"/>
      <c r="AC387" s="577">
        <f>SUM(AC388:AC390)</f>
        <v>2.500364322580796</v>
      </c>
      <c r="AD387" s="700"/>
      <c r="AF387" s="520"/>
      <c r="AG387" s="520"/>
      <c r="AH387" s="512">
        <v>36012</v>
      </c>
      <c r="AJ387" s="513">
        <v>106.23302983559877</v>
      </c>
      <c r="AK387" s="514">
        <v>105.1948604625895</v>
      </c>
      <c r="AL387" s="513">
        <v>104.86113485125321</v>
      </c>
      <c r="AM387" s="512">
        <v>12</v>
      </c>
      <c r="AN387" s="512">
        <v>1000000</v>
      </c>
      <c r="AO387" s="512">
        <v>0.12</v>
      </c>
      <c r="AP387" s="523">
        <f>AE387*AH387*AJ387%*AM387/AN387*AO387</f>
        <v>0</v>
      </c>
      <c r="AQ387" s="523">
        <f t="shared" si="170"/>
        <v>0</v>
      </c>
      <c r="AR387" s="523">
        <f t="shared" si="171"/>
        <v>0</v>
      </c>
      <c r="AS387" s="512">
        <v>0.18</v>
      </c>
      <c r="AT387" s="523">
        <f t="shared" si="169"/>
        <v>17.28</v>
      </c>
    </row>
    <row r="388" spans="1:46" ht="27" customHeight="1">
      <c r="A388" s="763"/>
      <c r="B388" s="742"/>
      <c r="C388" s="742"/>
      <c r="D388" s="489">
        <v>2013</v>
      </c>
      <c r="E388" s="578">
        <f>G388+I388+K388+M388+O388+Q388</f>
        <v>2</v>
      </c>
      <c r="F388" s="578">
        <v>57.6</v>
      </c>
      <c r="G388" s="569">
        <v>0</v>
      </c>
      <c r="H388" s="586"/>
      <c r="I388" s="578">
        <v>0</v>
      </c>
      <c r="J388" s="578"/>
      <c r="K388" s="569">
        <v>2</v>
      </c>
      <c r="L388" s="569"/>
      <c r="M388" s="569">
        <v>0</v>
      </c>
      <c r="N388" s="586">
        <v>57.6</v>
      </c>
      <c r="O388" s="569">
        <v>0</v>
      </c>
      <c r="P388" s="569"/>
      <c r="Q388" s="569">
        <v>0</v>
      </c>
      <c r="R388" s="569"/>
      <c r="S388" s="762"/>
      <c r="T388" s="784"/>
      <c r="U388" s="493">
        <f t="shared" si="195"/>
        <v>10</v>
      </c>
      <c r="V388" s="493" t="s">
        <v>800</v>
      </c>
      <c r="W388" s="577">
        <f>SUM(Y388:AC388)</f>
        <v>0.7668955973433</v>
      </c>
      <c r="X388" s="577"/>
      <c r="Y388" s="577">
        <f>AT388</f>
        <v>0.216</v>
      </c>
      <c r="Z388" s="577"/>
      <c r="AA388" s="577">
        <f>AR388</f>
        <v>0.2986405033198029</v>
      </c>
      <c r="AB388" s="577"/>
      <c r="AC388" s="577">
        <f>AQ388</f>
        <v>0.25225509402349705</v>
      </c>
      <c r="AD388" s="700"/>
      <c r="AE388" s="512">
        <f t="shared" si="164"/>
        <v>10</v>
      </c>
      <c r="AF388" s="520">
        <v>0</v>
      </c>
      <c r="AG388" s="512">
        <v>10</v>
      </c>
      <c r="AH388" s="512">
        <v>36012</v>
      </c>
      <c r="AJ388" s="513">
        <v>106.23302983559877</v>
      </c>
      <c r="AK388" s="514">
        <v>105.1948604625895</v>
      </c>
      <c r="AL388" s="513">
        <v>104.86113485125321</v>
      </c>
      <c r="AM388" s="512">
        <v>12</v>
      </c>
      <c r="AN388" s="512">
        <v>1000000</v>
      </c>
      <c r="AO388" s="512">
        <v>0.12</v>
      </c>
      <c r="AP388" s="523">
        <f>AE388*AH388*AJ388%*AM388/AN388*AO388</f>
        <v>0.5508955973433</v>
      </c>
      <c r="AQ388" s="523">
        <f t="shared" si="170"/>
        <v>0.25225509402349705</v>
      </c>
      <c r="AR388" s="523">
        <f t="shared" si="171"/>
        <v>0.2986405033198029</v>
      </c>
      <c r="AS388" s="512">
        <v>0.18</v>
      </c>
      <c r="AT388" s="523">
        <f t="shared" si="169"/>
        <v>0.216</v>
      </c>
    </row>
    <row r="389" spans="1:46" ht="27" customHeight="1">
      <c r="A389" s="763"/>
      <c r="B389" s="742"/>
      <c r="C389" s="742"/>
      <c r="D389" s="489">
        <v>2014</v>
      </c>
      <c r="E389" s="578">
        <v>158</v>
      </c>
      <c r="F389" s="578">
        <v>103.6</v>
      </c>
      <c r="G389" s="569">
        <v>0</v>
      </c>
      <c r="H389" s="586">
        <v>103.1</v>
      </c>
      <c r="I389" s="578">
        <v>100</v>
      </c>
      <c r="J389" s="578"/>
      <c r="K389" s="569">
        <v>58</v>
      </c>
      <c r="L389" s="569">
        <v>0.5</v>
      </c>
      <c r="M389" s="569">
        <v>0</v>
      </c>
      <c r="N389" s="586"/>
      <c r="O389" s="569">
        <v>0</v>
      </c>
      <c r="P389" s="569"/>
      <c r="Q389" s="569">
        <v>0</v>
      </c>
      <c r="R389" s="569"/>
      <c r="S389" s="762"/>
      <c r="T389" s="784"/>
      <c r="U389" s="493">
        <f t="shared" si="195"/>
        <v>90</v>
      </c>
      <c r="V389" s="493" t="s">
        <v>815</v>
      </c>
      <c r="W389" s="577">
        <f>Y389+AA389+AC389</f>
        <v>21.97360740021249</v>
      </c>
      <c r="X389" s="577">
        <v>18.6</v>
      </c>
      <c r="Y389" s="577">
        <f>AT389</f>
        <v>17.064</v>
      </c>
      <c r="Z389" s="577">
        <v>18.6</v>
      </c>
      <c r="AA389" s="577">
        <f>AR389</f>
        <v>2.661498171655191</v>
      </c>
      <c r="AB389" s="577">
        <v>0.026</v>
      </c>
      <c r="AC389" s="577">
        <f>AQ389</f>
        <v>2.248109228557299</v>
      </c>
      <c r="AD389" s="704">
        <v>0.018</v>
      </c>
      <c r="AE389" s="512">
        <f aca="true" t="shared" si="197" ref="AE389:AE452">AF389+AG389</f>
        <v>90</v>
      </c>
      <c r="AF389" s="520">
        <v>0</v>
      </c>
      <c r="AG389" s="512">
        <v>90</v>
      </c>
      <c r="AH389" s="512">
        <v>36012</v>
      </c>
      <c r="AJ389" s="513">
        <v>106.23302983559877</v>
      </c>
      <c r="AK389" s="514">
        <v>105.1948604625895</v>
      </c>
      <c r="AL389" s="513">
        <v>104.86113485125321</v>
      </c>
      <c r="AM389" s="512">
        <v>12</v>
      </c>
      <c r="AN389" s="512">
        <v>1000000</v>
      </c>
      <c r="AO389" s="512">
        <v>0.12</v>
      </c>
      <c r="AP389" s="523">
        <f>AE389*AH389*AK389%*AM389/AN389*AO389</f>
        <v>4.90960740021249</v>
      </c>
      <c r="AQ389" s="523">
        <f t="shared" si="170"/>
        <v>2.248109228557299</v>
      </c>
      <c r="AR389" s="523">
        <f t="shared" si="171"/>
        <v>2.661498171655191</v>
      </c>
      <c r="AS389" s="512">
        <v>0.18</v>
      </c>
      <c r="AT389" s="523">
        <f t="shared" si="169"/>
        <v>17.064</v>
      </c>
    </row>
    <row r="390" spans="1:46" ht="27" customHeight="1">
      <c r="A390" s="763"/>
      <c r="B390" s="742"/>
      <c r="C390" s="742"/>
      <c r="D390" s="489">
        <v>2015</v>
      </c>
      <c r="E390" s="578">
        <f t="shared" si="192"/>
        <v>0</v>
      </c>
      <c r="F390" s="578">
        <v>0</v>
      </c>
      <c r="G390" s="569">
        <v>0</v>
      </c>
      <c r="H390" s="586"/>
      <c r="I390" s="578">
        <v>0</v>
      </c>
      <c r="J390" s="578"/>
      <c r="K390" s="569">
        <v>0</v>
      </c>
      <c r="L390" s="569"/>
      <c r="M390" s="569">
        <v>0</v>
      </c>
      <c r="N390" s="586"/>
      <c r="O390" s="569">
        <v>0</v>
      </c>
      <c r="P390" s="569"/>
      <c r="Q390" s="569">
        <v>0</v>
      </c>
      <c r="R390" s="569"/>
      <c r="S390" s="762"/>
      <c r="T390" s="785"/>
      <c r="U390" s="493">
        <f t="shared" si="195"/>
        <v>0</v>
      </c>
      <c r="V390" s="493"/>
      <c r="W390" s="577">
        <f>SUM(Y390:AC390)</f>
        <v>0</v>
      </c>
      <c r="X390" s="577"/>
      <c r="Y390" s="577">
        <f>AT390</f>
        <v>0</v>
      </c>
      <c r="Z390" s="577"/>
      <c r="AA390" s="577">
        <f>AR390</f>
        <v>0</v>
      </c>
      <c r="AB390" s="577"/>
      <c r="AC390" s="577">
        <f>AQ390</f>
        <v>0</v>
      </c>
      <c r="AD390" s="700"/>
      <c r="AE390" s="512">
        <f t="shared" si="197"/>
        <v>0</v>
      </c>
      <c r="AF390" s="520">
        <v>0</v>
      </c>
      <c r="AH390" s="512">
        <v>36012</v>
      </c>
      <c r="AJ390" s="513">
        <v>106.23302983559877</v>
      </c>
      <c r="AK390" s="514">
        <v>105.1948604625895</v>
      </c>
      <c r="AL390" s="513">
        <v>104.86113485125321</v>
      </c>
      <c r="AM390" s="512">
        <v>12</v>
      </c>
      <c r="AN390" s="512">
        <v>1000000</v>
      </c>
      <c r="AO390" s="512">
        <v>0.12</v>
      </c>
      <c r="AP390" s="523">
        <f>AE390*AH390*AL390%*AM390/AN390*AO390</f>
        <v>0</v>
      </c>
      <c r="AQ390" s="523">
        <f t="shared" si="170"/>
        <v>0</v>
      </c>
      <c r="AR390" s="523">
        <f t="shared" si="171"/>
        <v>0</v>
      </c>
      <c r="AS390" s="512">
        <v>0.18</v>
      </c>
      <c r="AT390" s="523">
        <f t="shared" si="169"/>
        <v>0</v>
      </c>
    </row>
    <row r="391" spans="1:46" ht="66.75" customHeight="1">
      <c r="A391" s="763">
        <v>3</v>
      </c>
      <c r="B391" s="742" t="s">
        <v>606</v>
      </c>
      <c r="C391" s="742" t="s">
        <v>861</v>
      </c>
      <c r="D391" s="568" t="s">
        <v>273</v>
      </c>
      <c r="E391" s="578">
        <f t="shared" si="192"/>
        <v>313</v>
      </c>
      <c r="F391" s="578"/>
      <c r="G391" s="569">
        <f aca="true" t="shared" si="198" ref="G391:Q391">SUM(G392:G394)</f>
        <v>0</v>
      </c>
      <c r="H391" s="586"/>
      <c r="I391" s="578">
        <f t="shared" si="198"/>
        <v>313</v>
      </c>
      <c r="J391" s="578"/>
      <c r="K391" s="569">
        <f t="shared" si="198"/>
        <v>0</v>
      </c>
      <c r="L391" s="569"/>
      <c r="M391" s="569">
        <f t="shared" si="198"/>
        <v>0</v>
      </c>
      <c r="N391" s="586"/>
      <c r="O391" s="569">
        <f t="shared" si="198"/>
        <v>0</v>
      </c>
      <c r="P391" s="569"/>
      <c r="Q391" s="569">
        <f t="shared" si="198"/>
        <v>0</v>
      </c>
      <c r="R391" s="569"/>
      <c r="S391" s="762" t="s">
        <v>581</v>
      </c>
      <c r="T391" s="783" t="s">
        <v>318</v>
      </c>
      <c r="U391" s="493">
        <f>SUM(U392:U394)</f>
        <v>150</v>
      </c>
      <c r="V391" s="493"/>
      <c r="W391" s="577">
        <f>SUM(W392:W394)</f>
        <v>42.06743396014949</v>
      </c>
      <c r="X391" s="577"/>
      <c r="Y391" s="577">
        <f>SUM(Y392:Y394)</f>
        <v>33.803999999999995</v>
      </c>
      <c r="Z391" s="577"/>
      <c r="AA391" s="577">
        <f>SUM(AA392:AA394)</f>
        <v>4.479607549797043</v>
      </c>
      <c r="AB391" s="577"/>
      <c r="AC391" s="577">
        <f>SUM(AC392:AC394)</f>
        <v>3.783826410352455</v>
      </c>
      <c r="AD391" s="700"/>
      <c r="AF391" s="520"/>
      <c r="AG391" s="520"/>
      <c r="AH391" s="512">
        <v>36012</v>
      </c>
      <c r="AJ391" s="513">
        <v>106.23302983559877</v>
      </c>
      <c r="AK391" s="514">
        <v>105.1948604625895</v>
      </c>
      <c r="AL391" s="513">
        <v>104.86113485125321</v>
      </c>
      <c r="AM391" s="512">
        <v>12</v>
      </c>
      <c r="AN391" s="512">
        <v>1000000</v>
      </c>
      <c r="AO391" s="512">
        <v>0.12</v>
      </c>
      <c r="AP391" s="523">
        <f>AE391*AH391*AJ391%*AM391/AN391*AO391</f>
        <v>0</v>
      </c>
      <c r="AQ391" s="523">
        <f t="shared" si="170"/>
        <v>0</v>
      </c>
      <c r="AR391" s="523">
        <f t="shared" si="171"/>
        <v>0</v>
      </c>
      <c r="AS391" s="512">
        <v>0.18</v>
      </c>
      <c r="AT391" s="523">
        <f t="shared" si="169"/>
        <v>33.803999999999995</v>
      </c>
    </row>
    <row r="392" spans="1:46" ht="66.75" customHeight="1">
      <c r="A392" s="763"/>
      <c r="B392" s="742"/>
      <c r="C392" s="742"/>
      <c r="D392" s="489">
        <v>2013</v>
      </c>
      <c r="E392" s="578">
        <f>G392+I392+K392+M392+O392+Q392</f>
        <v>313</v>
      </c>
      <c r="F392" s="578">
        <f>H392+J392+L392+N392+P392+R392</f>
        <v>640.8000000000001</v>
      </c>
      <c r="G392" s="569">
        <v>0</v>
      </c>
      <c r="H392" s="586">
        <v>55.7</v>
      </c>
      <c r="I392" s="578">
        <v>313</v>
      </c>
      <c r="J392" s="578">
        <f>481.2+103.9</f>
        <v>585.1</v>
      </c>
      <c r="K392" s="569">
        <v>0</v>
      </c>
      <c r="L392" s="569"/>
      <c r="M392" s="569">
        <v>0</v>
      </c>
      <c r="N392" s="586"/>
      <c r="O392" s="569">
        <v>0</v>
      </c>
      <c r="P392" s="569"/>
      <c r="Q392" s="569">
        <v>0</v>
      </c>
      <c r="R392" s="569"/>
      <c r="S392" s="762"/>
      <c r="T392" s="784"/>
      <c r="U392" s="493">
        <f t="shared" si="195"/>
        <v>150</v>
      </c>
      <c r="V392" s="493" t="s">
        <v>808</v>
      </c>
      <c r="W392" s="577">
        <f>Y392+AA392+AC392</f>
        <v>42.06743396014949</v>
      </c>
      <c r="X392" s="577"/>
      <c r="Y392" s="577">
        <f>AT392</f>
        <v>33.803999999999995</v>
      </c>
      <c r="Z392" s="577"/>
      <c r="AA392" s="577">
        <f>AR392</f>
        <v>4.479607549797043</v>
      </c>
      <c r="AB392" s="577"/>
      <c r="AC392" s="577">
        <f>AQ392</f>
        <v>3.783826410352455</v>
      </c>
      <c r="AD392" s="700"/>
      <c r="AE392" s="512">
        <f t="shared" si="197"/>
        <v>150</v>
      </c>
      <c r="AF392" s="520">
        <v>0</v>
      </c>
      <c r="AG392" s="512">
        <v>150</v>
      </c>
      <c r="AH392" s="512">
        <v>36012</v>
      </c>
      <c r="AJ392" s="513">
        <v>106.23302983559877</v>
      </c>
      <c r="AK392" s="514">
        <v>105.1948604625895</v>
      </c>
      <c r="AL392" s="513">
        <v>104.86113485125321</v>
      </c>
      <c r="AM392" s="512">
        <v>12</v>
      </c>
      <c r="AN392" s="512">
        <v>1000000</v>
      </c>
      <c r="AO392" s="512">
        <v>0.12</v>
      </c>
      <c r="AP392" s="523">
        <f>AE392*AH392*AJ392%*AM392/AN392*AO392</f>
        <v>8.263433960149499</v>
      </c>
      <c r="AQ392" s="523">
        <f t="shared" si="170"/>
        <v>3.783826410352455</v>
      </c>
      <c r="AR392" s="523">
        <f t="shared" si="171"/>
        <v>4.479607549797043</v>
      </c>
      <c r="AS392" s="512">
        <v>0.18</v>
      </c>
      <c r="AT392" s="523">
        <f t="shared" si="169"/>
        <v>33.803999999999995</v>
      </c>
    </row>
    <row r="393" spans="1:46" ht="66.75" customHeight="1">
      <c r="A393" s="763"/>
      <c r="B393" s="742"/>
      <c r="C393" s="742"/>
      <c r="D393" s="489">
        <v>2014</v>
      </c>
      <c r="E393" s="578">
        <f t="shared" si="192"/>
        <v>0</v>
      </c>
      <c r="F393" s="578"/>
      <c r="G393" s="569">
        <v>0</v>
      </c>
      <c r="H393" s="586"/>
      <c r="I393" s="578">
        <v>0</v>
      </c>
      <c r="J393" s="578"/>
      <c r="K393" s="569">
        <v>0</v>
      </c>
      <c r="L393" s="569"/>
      <c r="M393" s="569">
        <v>0</v>
      </c>
      <c r="N393" s="586"/>
      <c r="O393" s="569">
        <v>0</v>
      </c>
      <c r="P393" s="569"/>
      <c r="Q393" s="569">
        <v>0</v>
      </c>
      <c r="R393" s="569"/>
      <c r="S393" s="762"/>
      <c r="T393" s="784"/>
      <c r="U393" s="493">
        <f t="shared" si="195"/>
        <v>0</v>
      </c>
      <c r="V393" s="493"/>
      <c r="W393" s="577">
        <f>SUM(Y393:AC393)</f>
        <v>0</v>
      </c>
      <c r="X393" s="577"/>
      <c r="Y393" s="577">
        <f>AT393</f>
        <v>0</v>
      </c>
      <c r="Z393" s="577"/>
      <c r="AA393" s="577">
        <f>AR393</f>
        <v>0</v>
      </c>
      <c r="AB393" s="577"/>
      <c r="AC393" s="577">
        <f>AQ393</f>
        <v>0</v>
      </c>
      <c r="AD393" s="700"/>
      <c r="AE393" s="512">
        <f t="shared" si="197"/>
        <v>0</v>
      </c>
      <c r="AF393" s="520">
        <v>0</v>
      </c>
      <c r="AH393" s="512">
        <v>36012</v>
      </c>
      <c r="AJ393" s="513">
        <v>106.23302983559877</v>
      </c>
      <c r="AK393" s="514">
        <v>105.1948604625895</v>
      </c>
      <c r="AL393" s="513">
        <v>104.86113485125321</v>
      </c>
      <c r="AM393" s="512">
        <v>12</v>
      </c>
      <c r="AN393" s="512">
        <v>1000000</v>
      </c>
      <c r="AO393" s="512">
        <v>0.12</v>
      </c>
      <c r="AP393" s="523">
        <f>AE393*AH393*AK393%*AM393/AN393*AO393</f>
        <v>0</v>
      </c>
      <c r="AQ393" s="523">
        <f t="shared" si="170"/>
        <v>0</v>
      </c>
      <c r="AR393" s="523">
        <f t="shared" si="171"/>
        <v>0</v>
      </c>
      <c r="AS393" s="512">
        <v>0.18</v>
      </c>
      <c r="AT393" s="523">
        <f t="shared" si="169"/>
        <v>0</v>
      </c>
    </row>
    <row r="394" spans="1:46" ht="66.75" customHeight="1">
      <c r="A394" s="763"/>
      <c r="B394" s="742"/>
      <c r="C394" s="742"/>
      <c r="D394" s="489">
        <v>2015</v>
      </c>
      <c r="E394" s="578">
        <f t="shared" si="192"/>
        <v>0</v>
      </c>
      <c r="F394" s="578">
        <v>0</v>
      </c>
      <c r="G394" s="569">
        <v>0</v>
      </c>
      <c r="H394" s="586"/>
      <c r="I394" s="578">
        <v>0</v>
      </c>
      <c r="J394" s="578"/>
      <c r="K394" s="569">
        <v>0</v>
      </c>
      <c r="L394" s="569"/>
      <c r="M394" s="569">
        <v>0</v>
      </c>
      <c r="N394" s="586"/>
      <c r="O394" s="569">
        <v>0</v>
      </c>
      <c r="P394" s="569"/>
      <c r="Q394" s="569">
        <v>0</v>
      </c>
      <c r="R394" s="569"/>
      <c r="S394" s="762"/>
      <c r="T394" s="785"/>
      <c r="U394" s="493">
        <f t="shared" si="195"/>
        <v>0</v>
      </c>
      <c r="V394" s="493"/>
      <c r="W394" s="577">
        <f>SUM(Y394:AC394)</f>
        <v>0</v>
      </c>
      <c r="X394" s="577"/>
      <c r="Y394" s="577">
        <f>AT394</f>
        <v>0</v>
      </c>
      <c r="Z394" s="577"/>
      <c r="AA394" s="577">
        <f>AR394</f>
        <v>0</v>
      </c>
      <c r="AB394" s="577"/>
      <c r="AC394" s="577">
        <f>AQ394</f>
        <v>0</v>
      </c>
      <c r="AD394" s="700"/>
      <c r="AE394" s="512">
        <f t="shared" si="197"/>
        <v>0</v>
      </c>
      <c r="AF394" s="520">
        <v>0</v>
      </c>
      <c r="AH394" s="512">
        <v>36012</v>
      </c>
      <c r="AJ394" s="513">
        <v>106.23302983559877</v>
      </c>
      <c r="AK394" s="514">
        <v>105.1948604625895</v>
      </c>
      <c r="AL394" s="513">
        <v>104.86113485125321</v>
      </c>
      <c r="AM394" s="512">
        <v>12</v>
      </c>
      <c r="AN394" s="512">
        <v>1000000</v>
      </c>
      <c r="AO394" s="512">
        <v>0.12</v>
      </c>
      <c r="AP394" s="523">
        <f>AE394*AH394*AL394%*AM394/AN394*AO394</f>
        <v>0</v>
      </c>
      <c r="AQ394" s="523">
        <f t="shared" si="170"/>
        <v>0</v>
      </c>
      <c r="AR394" s="523">
        <f t="shared" si="171"/>
        <v>0</v>
      </c>
      <c r="AS394" s="512">
        <v>0.18</v>
      </c>
      <c r="AT394" s="523">
        <f t="shared" si="169"/>
        <v>0</v>
      </c>
    </row>
    <row r="395" spans="1:46" ht="28.5" customHeight="1">
      <c r="A395" s="763">
        <v>4</v>
      </c>
      <c r="B395" s="742" t="s">
        <v>269</v>
      </c>
      <c r="C395" s="742" t="s">
        <v>492</v>
      </c>
      <c r="D395" s="568" t="s">
        <v>273</v>
      </c>
      <c r="E395" s="578">
        <f t="shared" si="192"/>
        <v>1.5</v>
      </c>
      <c r="F395" s="578"/>
      <c r="G395" s="569">
        <f aca="true" t="shared" si="199" ref="G395:Q395">SUM(G396:G398)</f>
        <v>0</v>
      </c>
      <c r="H395" s="586"/>
      <c r="I395" s="578">
        <f t="shared" si="199"/>
        <v>0</v>
      </c>
      <c r="J395" s="578"/>
      <c r="K395" s="569">
        <f t="shared" si="199"/>
        <v>1.5</v>
      </c>
      <c r="L395" s="569"/>
      <c r="M395" s="569">
        <f t="shared" si="199"/>
        <v>0</v>
      </c>
      <c r="N395" s="586"/>
      <c r="O395" s="569">
        <f t="shared" si="199"/>
        <v>0</v>
      </c>
      <c r="P395" s="569"/>
      <c r="Q395" s="569">
        <f t="shared" si="199"/>
        <v>0</v>
      </c>
      <c r="R395" s="569"/>
      <c r="S395" s="762" t="s">
        <v>581</v>
      </c>
      <c r="T395" s="783" t="s">
        <v>3</v>
      </c>
      <c r="U395" s="493">
        <f>SUM(U396:U398)</f>
        <v>2</v>
      </c>
      <c r="V395" s="493"/>
      <c r="W395" s="577">
        <f>SUM(W396:W398)</f>
        <v>0.2094560791424632</v>
      </c>
      <c r="X395" s="577"/>
      <c r="Y395" s="577">
        <f>SUM(Y396:Y398)</f>
        <v>0.16199999999999998</v>
      </c>
      <c r="Z395" s="577"/>
      <c r="AA395" s="577">
        <f>SUM(AA396:AA398)</f>
        <v>0.025725940503129305</v>
      </c>
      <c r="AB395" s="577"/>
      <c r="AC395" s="577">
        <f>SUM(AC396:AC398)</f>
        <v>0.0217301386393339</v>
      </c>
      <c r="AD395" s="700"/>
      <c r="AF395" s="520"/>
      <c r="AH395" s="512">
        <v>15511</v>
      </c>
      <c r="AJ395" s="513">
        <v>106.23302983559877</v>
      </c>
      <c r="AK395" s="514">
        <v>105.1948604625895</v>
      </c>
      <c r="AL395" s="513">
        <v>104.86113485125321</v>
      </c>
      <c r="AM395" s="512">
        <v>12</v>
      </c>
      <c r="AN395" s="512">
        <v>1000000</v>
      </c>
      <c r="AO395" s="512">
        <v>0.12</v>
      </c>
      <c r="AP395" s="523">
        <f>AE395*AH395*AJ395%*AM395/AN395*AO395</f>
        <v>0</v>
      </c>
      <c r="AQ395" s="523">
        <f t="shared" si="170"/>
        <v>0</v>
      </c>
      <c r="AR395" s="523">
        <f t="shared" si="171"/>
        <v>0</v>
      </c>
      <c r="AS395" s="512">
        <v>0.18</v>
      </c>
      <c r="AT395" s="523">
        <f t="shared" si="169"/>
        <v>0.16199999999999998</v>
      </c>
    </row>
    <row r="396" spans="1:46" ht="28.5" customHeight="1">
      <c r="A396" s="763"/>
      <c r="B396" s="742"/>
      <c r="C396" s="742"/>
      <c r="D396" s="491">
        <v>2013</v>
      </c>
      <c r="E396" s="578">
        <f>G396+I396+K396+M396+O396+Q396</f>
        <v>1.5</v>
      </c>
      <c r="F396" s="578">
        <v>0.791</v>
      </c>
      <c r="G396" s="569">
        <v>0</v>
      </c>
      <c r="H396" s="586"/>
      <c r="I396" s="578">
        <v>0</v>
      </c>
      <c r="J396" s="578"/>
      <c r="K396" s="569">
        <v>1.5</v>
      </c>
      <c r="L396" s="569">
        <v>0.791</v>
      </c>
      <c r="M396" s="569">
        <v>0</v>
      </c>
      <c r="N396" s="586"/>
      <c r="O396" s="569">
        <v>0</v>
      </c>
      <c r="P396" s="569"/>
      <c r="Q396" s="569">
        <v>0</v>
      </c>
      <c r="R396" s="569"/>
      <c r="S396" s="762"/>
      <c r="T396" s="784"/>
      <c r="U396" s="493">
        <f>AE396</f>
        <v>2</v>
      </c>
      <c r="V396" s="576">
        <v>4.55</v>
      </c>
      <c r="W396" s="577">
        <f>Y396+AA396+AC396</f>
        <v>0.2094560791424632</v>
      </c>
      <c r="X396" s="577">
        <f>AB396+AD396</f>
        <v>0.03</v>
      </c>
      <c r="Y396" s="577">
        <f>AT396</f>
        <v>0.16199999999999998</v>
      </c>
      <c r="Z396" s="577"/>
      <c r="AA396" s="577">
        <f>AR396</f>
        <v>0.025725940503129305</v>
      </c>
      <c r="AB396" s="577">
        <v>0.016</v>
      </c>
      <c r="AC396" s="577">
        <f>AQ396</f>
        <v>0.0217301386393339</v>
      </c>
      <c r="AD396" s="707">
        <v>0.014</v>
      </c>
      <c r="AE396" s="512">
        <f t="shared" si="197"/>
        <v>2</v>
      </c>
      <c r="AF396" s="520">
        <v>2</v>
      </c>
      <c r="AH396" s="512">
        <v>15511</v>
      </c>
      <c r="AJ396" s="513">
        <v>106.23302983559877</v>
      </c>
      <c r="AK396" s="514">
        <v>105.1948604625895</v>
      </c>
      <c r="AL396" s="513">
        <v>104.86113485125321</v>
      </c>
      <c r="AM396" s="512">
        <v>12</v>
      </c>
      <c r="AN396" s="512">
        <v>1000000</v>
      </c>
      <c r="AO396" s="512">
        <v>0.12</v>
      </c>
      <c r="AP396" s="523">
        <f>AE396*AH396*AJ396%*AM396/AN396*AO396</f>
        <v>0.047456079142463206</v>
      </c>
      <c r="AQ396" s="523">
        <f t="shared" si="170"/>
        <v>0.0217301386393339</v>
      </c>
      <c r="AR396" s="523">
        <f t="shared" si="171"/>
        <v>0.025725940503129305</v>
      </c>
      <c r="AS396" s="512">
        <v>0.18</v>
      </c>
      <c r="AT396" s="523">
        <f t="shared" si="169"/>
        <v>0.16199999999999998</v>
      </c>
    </row>
    <row r="397" spans="1:46" ht="28.5" customHeight="1">
      <c r="A397" s="763"/>
      <c r="B397" s="742"/>
      <c r="C397" s="742"/>
      <c r="D397" s="491">
        <v>2014</v>
      </c>
      <c r="E397" s="578">
        <f t="shared" si="192"/>
        <v>0</v>
      </c>
      <c r="F397" s="578"/>
      <c r="G397" s="569">
        <v>0</v>
      </c>
      <c r="H397" s="586"/>
      <c r="I397" s="578">
        <v>0</v>
      </c>
      <c r="J397" s="578"/>
      <c r="K397" s="569">
        <v>0</v>
      </c>
      <c r="L397" s="569"/>
      <c r="M397" s="569">
        <v>0</v>
      </c>
      <c r="N397" s="586"/>
      <c r="O397" s="569">
        <v>0</v>
      </c>
      <c r="P397" s="569"/>
      <c r="Q397" s="569">
        <v>0</v>
      </c>
      <c r="R397" s="569"/>
      <c r="S397" s="762"/>
      <c r="T397" s="784"/>
      <c r="U397" s="493">
        <f t="shared" si="195"/>
        <v>0</v>
      </c>
      <c r="V397" s="493"/>
      <c r="W397" s="577">
        <f>Y397+AA397+AC397</f>
        <v>0</v>
      </c>
      <c r="X397" s="577"/>
      <c r="Y397" s="577">
        <f>AT397</f>
        <v>0</v>
      </c>
      <c r="Z397" s="577"/>
      <c r="AA397" s="577">
        <f>AR397</f>
        <v>0</v>
      </c>
      <c r="AB397" s="577"/>
      <c r="AC397" s="577">
        <f>AQ397</f>
        <v>0</v>
      </c>
      <c r="AD397" s="700"/>
      <c r="AE397" s="512">
        <f t="shared" si="197"/>
        <v>0</v>
      </c>
      <c r="AF397" s="520">
        <v>0</v>
      </c>
      <c r="AH397" s="512">
        <v>15511</v>
      </c>
      <c r="AJ397" s="513">
        <v>106.23302983559877</v>
      </c>
      <c r="AK397" s="514">
        <v>105.1948604625895</v>
      </c>
      <c r="AL397" s="513">
        <v>104.86113485125321</v>
      </c>
      <c r="AM397" s="512">
        <v>12</v>
      </c>
      <c r="AN397" s="512">
        <v>1000000</v>
      </c>
      <c r="AO397" s="512">
        <v>0.12</v>
      </c>
      <c r="AP397" s="523">
        <f>AE397*AH397*AK397%*AM397/AN397*AO397</f>
        <v>0</v>
      </c>
      <c r="AQ397" s="523">
        <f t="shared" si="170"/>
        <v>0</v>
      </c>
      <c r="AR397" s="523">
        <f t="shared" si="171"/>
        <v>0</v>
      </c>
      <c r="AS397" s="512">
        <v>0.18</v>
      </c>
      <c r="AT397" s="523">
        <f t="shared" si="169"/>
        <v>0</v>
      </c>
    </row>
    <row r="398" spans="1:46" ht="28.5" customHeight="1">
      <c r="A398" s="763"/>
      <c r="B398" s="742"/>
      <c r="C398" s="742"/>
      <c r="D398" s="489">
        <v>2015</v>
      </c>
      <c r="E398" s="578">
        <f t="shared" si="192"/>
        <v>0</v>
      </c>
      <c r="F398" s="578">
        <v>0</v>
      </c>
      <c r="G398" s="569">
        <v>0</v>
      </c>
      <c r="H398" s="586"/>
      <c r="I398" s="578">
        <v>0</v>
      </c>
      <c r="J398" s="578"/>
      <c r="K398" s="569">
        <v>0</v>
      </c>
      <c r="L398" s="569"/>
      <c r="M398" s="569">
        <v>0</v>
      </c>
      <c r="N398" s="586"/>
      <c r="O398" s="569">
        <v>0</v>
      </c>
      <c r="P398" s="569"/>
      <c r="Q398" s="569">
        <v>0</v>
      </c>
      <c r="R398" s="569"/>
      <c r="S398" s="762"/>
      <c r="T398" s="785"/>
      <c r="U398" s="493">
        <f t="shared" si="195"/>
        <v>0</v>
      </c>
      <c r="V398" s="493"/>
      <c r="W398" s="577">
        <f>Y398+AA398+AC398</f>
        <v>0</v>
      </c>
      <c r="X398" s="577"/>
      <c r="Y398" s="577">
        <f>AT398</f>
        <v>0</v>
      </c>
      <c r="Z398" s="577"/>
      <c r="AA398" s="577">
        <f>AR398</f>
        <v>0</v>
      </c>
      <c r="AB398" s="577"/>
      <c r="AC398" s="577">
        <f>AQ398</f>
        <v>0</v>
      </c>
      <c r="AD398" s="700"/>
      <c r="AE398" s="512">
        <f t="shared" si="197"/>
        <v>0</v>
      </c>
      <c r="AF398" s="520">
        <v>0</v>
      </c>
      <c r="AH398" s="512">
        <v>15511</v>
      </c>
      <c r="AJ398" s="513">
        <v>106.23302983559877</v>
      </c>
      <c r="AK398" s="514">
        <v>105.1948604625895</v>
      </c>
      <c r="AL398" s="513">
        <v>104.86113485125321</v>
      </c>
      <c r="AM398" s="512">
        <v>12</v>
      </c>
      <c r="AN398" s="512">
        <v>1000000</v>
      </c>
      <c r="AO398" s="512">
        <v>0.12</v>
      </c>
      <c r="AP398" s="523">
        <f>AE398*AH398*AL398%*AM398/AN398*AO398</f>
        <v>0</v>
      </c>
      <c r="AQ398" s="523">
        <f t="shared" si="170"/>
        <v>0</v>
      </c>
      <c r="AR398" s="523">
        <f t="shared" si="171"/>
        <v>0</v>
      </c>
      <c r="AS398" s="512">
        <v>0.18</v>
      </c>
      <c r="AT398" s="523">
        <f t="shared" si="169"/>
        <v>0</v>
      </c>
    </row>
    <row r="399" spans="1:46" s="553" customFormat="1" ht="18" customHeight="1">
      <c r="A399" s="803" t="s">
        <v>626</v>
      </c>
      <c r="B399" s="803"/>
      <c r="C399" s="803"/>
      <c r="D399" s="803"/>
      <c r="E399" s="803"/>
      <c r="F399" s="803"/>
      <c r="G399" s="803"/>
      <c r="H399" s="803"/>
      <c r="I399" s="803"/>
      <c r="J399" s="803"/>
      <c r="K399" s="803"/>
      <c r="L399" s="803"/>
      <c r="M399" s="803"/>
      <c r="N399" s="803"/>
      <c r="O399" s="803"/>
      <c r="P399" s="803"/>
      <c r="Q399" s="803"/>
      <c r="R399" s="803"/>
      <c r="S399" s="803"/>
      <c r="T399" s="803"/>
      <c r="U399" s="803"/>
      <c r="V399" s="803"/>
      <c r="W399" s="803"/>
      <c r="X399" s="803"/>
      <c r="Y399" s="803"/>
      <c r="Z399" s="803"/>
      <c r="AA399" s="803"/>
      <c r="AB399" s="803"/>
      <c r="AC399" s="803"/>
      <c r="AD399" s="696"/>
      <c r="AE399" s="554"/>
      <c r="AF399" s="554"/>
      <c r="AG399" s="554"/>
      <c r="AH399" s="554">
        <v>36012</v>
      </c>
      <c r="AI399" s="554"/>
      <c r="AJ399" s="555">
        <v>106.23302983559877</v>
      </c>
      <c r="AK399" s="556">
        <v>105.1948604625895</v>
      </c>
      <c r="AL399" s="555">
        <v>104.86113485125321</v>
      </c>
      <c r="AM399" s="554">
        <v>12</v>
      </c>
      <c r="AN399" s="554">
        <v>1000000</v>
      </c>
      <c r="AO399" s="554">
        <v>0.12</v>
      </c>
      <c r="AP399" s="563">
        <f>AE399*AH399*AJ399%*AM399/AN399*AO399</f>
        <v>0</v>
      </c>
      <c r="AQ399" s="563">
        <f t="shared" si="170"/>
        <v>0</v>
      </c>
      <c r="AR399" s="563">
        <f t="shared" si="171"/>
        <v>0</v>
      </c>
      <c r="AS399" s="554">
        <v>0.18</v>
      </c>
      <c r="AT399" s="563">
        <f t="shared" si="169"/>
        <v>0</v>
      </c>
    </row>
    <row r="400" spans="1:46" s="553" customFormat="1" ht="18" customHeight="1">
      <c r="A400" s="772"/>
      <c r="B400" s="771" t="s">
        <v>344</v>
      </c>
      <c r="C400" s="771"/>
      <c r="D400" s="558" t="s">
        <v>273</v>
      </c>
      <c r="E400" s="594">
        <f>G400+I400+K400+M400+O400+Q400</f>
        <v>263</v>
      </c>
      <c r="F400" s="594">
        <f>SUM(F401:F403)</f>
        <v>56.204</v>
      </c>
      <c r="G400" s="620">
        <f aca="true" t="shared" si="200" ref="G400:Q400">SUM(G401:G403)</f>
        <v>202.5</v>
      </c>
      <c r="H400" s="685">
        <f>SUM(H401:H403)</f>
        <v>51</v>
      </c>
      <c r="I400" s="594">
        <f t="shared" si="200"/>
        <v>47.5</v>
      </c>
      <c r="J400" s="594">
        <f>SUM(J401:J403)</f>
        <v>0</v>
      </c>
      <c r="K400" s="620">
        <f t="shared" si="200"/>
        <v>13</v>
      </c>
      <c r="L400" s="620">
        <f>SUM(L401:L403)</f>
        <v>5.209</v>
      </c>
      <c r="M400" s="620">
        <f t="shared" si="200"/>
        <v>0</v>
      </c>
      <c r="N400" s="685">
        <f>SUM(N401:N403)</f>
        <v>0</v>
      </c>
      <c r="O400" s="620">
        <f t="shared" si="200"/>
        <v>0</v>
      </c>
      <c r="P400" s="620">
        <f>SUM(P401:P403)</f>
        <v>0</v>
      </c>
      <c r="Q400" s="620">
        <f t="shared" si="200"/>
        <v>0</v>
      </c>
      <c r="R400" s="620">
        <f>SUM(R401:R403)</f>
        <v>0</v>
      </c>
      <c r="S400" s="766" t="s">
        <v>581</v>
      </c>
      <c r="T400" s="829">
        <v>240</v>
      </c>
      <c r="U400" s="559">
        <f>SUM(U401:U403)</f>
        <v>100</v>
      </c>
      <c r="V400" s="559"/>
      <c r="W400" s="594">
        <f aca="true" t="shared" si="201" ref="W400:AD400">SUM(W401:W403)</f>
        <v>33.88603765350121</v>
      </c>
      <c r="X400" s="594">
        <f t="shared" si="201"/>
        <v>0</v>
      </c>
      <c r="Y400" s="594">
        <f t="shared" si="201"/>
        <v>28.403999999999996</v>
      </c>
      <c r="Z400" s="594">
        <f t="shared" si="201"/>
        <v>0</v>
      </c>
      <c r="AA400" s="594">
        <f t="shared" si="201"/>
        <v>2.9718126119630095</v>
      </c>
      <c r="AB400" s="594">
        <f t="shared" si="201"/>
        <v>0</v>
      </c>
      <c r="AC400" s="594">
        <f t="shared" si="201"/>
        <v>2.510225041538207</v>
      </c>
      <c r="AD400" s="685">
        <f t="shared" si="201"/>
        <v>0</v>
      </c>
      <c r="AE400" s="554"/>
      <c r="AF400" s="677">
        <f>SUM(AF401:AF403)</f>
        <v>0</v>
      </c>
      <c r="AG400" s="677">
        <f>SUM(AG401:AG403)</f>
        <v>100</v>
      </c>
      <c r="AH400" s="554">
        <v>36012</v>
      </c>
      <c r="AI400" s="554"/>
      <c r="AJ400" s="555">
        <v>106.23302983559877</v>
      </c>
      <c r="AK400" s="556">
        <v>105.1948604625895</v>
      </c>
      <c r="AL400" s="555">
        <v>104.86113485125321</v>
      </c>
      <c r="AM400" s="554">
        <v>12</v>
      </c>
      <c r="AN400" s="554">
        <v>1000000</v>
      </c>
      <c r="AO400" s="554">
        <v>0.12</v>
      </c>
      <c r="AP400" s="563">
        <f>AE400*AH400*AJ400%*AM400/AN400*AO400</f>
        <v>0</v>
      </c>
      <c r="AQ400" s="563">
        <f t="shared" si="170"/>
        <v>0</v>
      </c>
      <c r="AR400" s="563">
        <f t="shared" si="171"/>
        <v>0</v>
      </c>
      <c r="AS400" s="554">
        <v>0.18</v>
      </c>
      <c r="AT400" s="563">
        <f t="shared" si="169"/>
        <v>28.403999999999996</v>
      </c>
    </row>
    <row r="401" spans="1:46" s="553" customFormat="1" ht="18" customHeight="1">
      <c r="A401" s="772"/>
      <c r="B401" s="771"/>
      <c r="C401" s="771"/>
      <c r="D401" s="558">
        <v>2013</v>
      </c>
      <c r="E401" s="594">
        <f>G401+K401</f>
        <v>63</v>
      </c>
      <c r="F401" s="594">
        <v>54.125</v>
      </c>
      <c r="G401" s="620">
        <f aca="true" t="shared" si="202" ref="G401:Q401">G405</f>
        <v>60</v>
      </c>
      <c r="H401" s="685">
        <v>51</v>
      </c>
      <c r="I401" s="594">
        <f t="shared" si="202"/>
        <v>0</v>
      </c>
      <c r="J401" s="594"/>
      <c r="K401" s="620">
        <f t="shared" si="202"/>
        <v>3</v>
      </c>
      <c r="L401" s="595">
        <v>3.13</v>
      </c>
      <c r="M401" s="620">
        <f t="shared" si="202"/>
        <v>0</v>
      </c>
      <c r="N401" s="685"/>
      <c r="O401" s="620">
        <f t="shared" si="202"/>
        <v>0</v>
      </c>
      <c r="P401" s="620"/>
      <c r="Q401" s="620">
        <f t="shared" si="202"/>
        <v>0</v>
      </c>
      <c r="R401" s="620"/>
      <c r="S401" s="766"/>
      <c r="T401" s="829"/>
      <c r="U401" s="559">
        <f>U405</f>
        <v>50</v>
      </c>
      <c r="V401" s="559" t="s">
        <v>802</v>
      </c>
      <c r="W401" s="594">
        <f>SUM(Y401:AC401)</f>
        <v>9.5584779867165</v>
      </c>
      <c r="X401" s="594"/>
      <c r="Y401" s="594">
        <f>Y405</f>
        <v>6.803999999999999</v>
      </c>
      <c r="Z401" s="594"/>
      <c r="AA401" s="594">
        <f>AA405</f>
        <v>1.4932025165990146</v>
      </c>
      <c r="AB401" s="594"/>
      <c r="AC401" s="594">
        <f>AC405</f>
        <v>1.261275470117485</v>
      </c>
      <c r="AD401" s="696"/>
      <c r="AE401" s="554"/>
      <c r="AF401" s="677">
        <f aca="true" t="shared" si="203" ref="AF401:AG403">AF405</f>
        <v>0</v>
      </c>
      <c r="AG401" s="677">
        <f t="shared" si="203"/>
        <v>50</v>
      </c>
      <c r="AH401" s="554">
        <v>36012</v>
      </c>
      <c r="AI401" s="554"/>
      <c r="AJ401" s="555">
        <v>106.23302983559877</v>
      </c>
      <c r="AK401" s="556">
        <v>105.1948604625895</v>
      </c>
      <c r="AL401" s="555">
        <v>104.86113485125321</v>
      </c>
      <c r="AM401" s="554">
        <v>12</v>
      </c>
      <c r="AN401" s="554">
        <v>1000000</v>
      </c>
      <c r="AO401" s="554">
        <v>0.12</v>
      </c>
      <c r="AP401" s="563">
        <f>AE401*AH401*AJ401%*AM401/AN401*AO401</f>
        <v>0</v>
      </c>
      <c r="AQ401" s="563">
        <f t="shared" si="170"/>
        <v>0</v>
      </c>
      <c r="AR401" s="563">
        <f t="shared" si="171"/>
        <v>0</v>
      </c>
      <c r="AS401" s="554">
        <v>0.18</v>
      </c>
      <c r="AT401" s="563">
        <f t="shared" si="169"/>
        <v>6.803999999999999</v>
      </c>
    </row>
    <row r="402" spans="1:46" s="553" customFormat="1" ht="18" customHeight="1">
      <c r="A402" s="772"/>
      <c r="B402" s="771"/>
      <c r="C402" s="771"/>
      <c r="D402" s="558">
        <v>2014</v>
      </c>
      <c r="E402" s="594">
        <f>G402+I402+K402</f>
        <v>200</v>
      </c>
      <c r="F402" s="594">
        <f>F406</f>
        <v>2.079</v>
      </c>
      <c r="G402" s="620">
        <f aca="true" t="shared" si="204" ref="G402:Q402">G406</f>
        <v>142.5</v>
      </c>
      <c r="H402" s="685"/>
      <c r="I402" s="594">
        <f t="shared" si="204"/>
        <v>47.5</v>
      </c>
      <c r="J402" s="594"/>
      <c r="K402" s="620">
        <f t="shared" si="204"/>
        <v>10</v>
      </c>
      <c r="L402" s="620">
        <f>L406</f>
        <v>2.079</v>
      </c>
      <c r="M402" s="620">
        <f t="shared" si="204"/>
        <v>0</v>
      </c>
      <c r="N402" s="685"/>
      <c r="O402" s="620">
        <f t="shared" si="204"/>
        <v>0</v>
      </c>
      <c r="P402" s="620"/>
      <c r="Q402" s="620">
        <f t="shared" si="204"/>
        <v>0</v>
      </c>
      <c r="R402" s="620"/>
      <c r="S402" s="766"/>
      <c r="T402" s="829"/>
      <c r="U402" s="559">
        <f>U406</f>
        <v>50</v>
      </c>
      <c r="V402" s="559"/>
      <c r="W402" s="594">
        <f>SUM(Y402:AC402)</f>
        <v>24.327559666784712</v>
      </c>
      <c r="X402" s="594"/>
      <c r="Y402" s="594">
        <f aca="true" t="shared" si="205" ref="Y402:AC403">Y406</f>
        <v>21.599999999999998</v>
      </c>
      <c r="Z402" s="594"/>
      <c r="AA402" s="594">
        <f t="shared" si="205"/>
        <v>1.478610095363995</v>
      </c>
      <c r="AB402" s="594"/>
      <c r="AC402" s="594">
        <f t="shared" si="205"/>
        <v>1.2489495714207217</v>
      </c>
      <c r="AD402" s="696"/>
      <c r="AE402" s="554"/>
      <c r="AF402" s="677">
        <f t="shared" si="203"/>
        <v>0</v>
      </c>
      <c r="AG402" s="677">
        <f t="shared" si="203"/>
        <v>50</v>
      </c>
      <c r="AH402" s="554">
        <v>36012</v>
      </c>
      <c r="AI402" s="554"/>
      <c r="AJ402" s="555">
        <v>106.23302983559877</v>
      </c>
      <c r="AK402" s="556">
        <v>105.1948604625895</v>
      </c>
      <c r="AL402" s="555">
        <v>104.86113485125321</v>
      </c>
      <c r="AM402" s="554">
        <v>12</v>
      </c>
      <c r="AN402" s="554">
        <v>1000000</v>
      </c>
      <c r="AO402" s="554">
        <v>0.12</v>
      </c>
      <c r="AP402" s="563">
        <f>AE402*AH402*AK402%*AM402/AN402*AO402</f>
        <v>0</v>
      </c>
      <c r="AQ402" s="563">
        <f t="shared" si="170"/>
        <v>0</v>
      </c>
      <c r="AR402" s="563">
        <f t="shared" si="171"/>
        <v>0</v>
      </c>
      <c r="AS402" s="554">
        <v>0.18</v>
      </c>
      <c r="AT402" s="563">
        <f t="shared" si="169"/>
        <v>21.599999999999998</v>
      </c>
    </row>
    <row r="403" spans="1:46" s="553" customFormat="1" ht="18" customHeight="1">
      <c r="A403" s="772"/>
      <c r="B403" s="771"/>
      <c r="C403" s="771"/>
      <c r="D403" s="678">
        <v>2015</v>
      </c>
      <c r="E403" s="594">
        <f>SUM(G403:Q403)</f>
        <v>0</v>
      </c>
      <c r="F403" s="594">
        <f>F407</f>
        <v>0</v>
      </c>
      <c r="G403" s="620">
        <f aca="true" t="shared" si="206" ref="G403:Q403">G407</f>
        <v>0</v>
      </c>
      <c r="H403" s="685">
        <f>H407</f>
        <v>0</v>
      </c>
      <c r="I403" s="594">
        <f t="shared" si="206"/>
        <v>0</v>
      </c>
      <c r="J403" s="594">
        <f>J407</f>
        <v>0</v>
      </c>
      <c r="K403" s="620">
        <f t="shared" si="206"/>
        <v>0</v>
      </c>
      <c r="L403" s="620">
        <f>L407</f>
        <v>0</v>
      </c>
      <c r="M403" s="620">
        <f t="shared" si="206"/>
        <v>0</v>
      </c>
      <c r="N403" s="685">
        <f>N407</f>
        <v>0</v>
      </c>
      <c r="O403" s="620">
        <f t="shared" si="206"/>
        <v>0</v>
      </c>
      <c r="P403" s="620">
        <f>P407</f>
        <v>0</v>
      </c>
      <c r="Q403" s="620">
        <f t="shared" si="206"/>
        <v>0</v>
      </c>
      <c r="R403" s="620">
        <f>R407</f>
        <v>0</v>
      </c>
      <c r="S403" s="766"/>
      <c r="T403" s="829"/>
      <c r="U403" s="559">
        <f>U407</f>
        <v>0</v>
      </c>
      <c r="V403" s="620">
        <f>V407</f>
        <v>0</v>
      </c>
      <c r="W403" s="594">
        <f>SUM(Y403:AC403)</f>
        <v>0</v>
      </c>
      <c r="X403" s="594">
        <f>X407</f>
        <v>0</v>
      </c>
      <c r="Y403" s="594">
        <f t="shared" si="205"/>
        <v>0</v>
      </c>
      <c r="Z403" s="594">
        <f>Z407</f>
        <v>0</v>
      </c>
      <c r="AA403" s="594">
        <f t="shared" si="205"/>
        <v>0</v>
      </c>
      <c r="AB403" s="594">
        <f>AB407</f>
        <v>0</v>
      </c>
      <c r="AC403" s="594">
        <f t="shared" si="205"/>
        <v>0</v>
      </c>
      <c r="AD403" s="685">
        <f>AD407</f>
        <v>0</v>
      </c>
      <c r="AE403" s="554"/>
      <c r="AF403" s="677">
        <f t="shared" si="203"/>
        <v>0</v>
      </c>
      <c r="AG403" s="677">
        <f t="shared" si="203"/>
        <v>0</v>
      </c>
      <c r="AH403" s="554">
        <v>36012</v>
      </c>
      <c r="AI403" s="554"/>
      <c r="AJ403" s="555">
        <v>106.23302983559877</v>
      </c>
      <c r="AK403" s="556">
        <v>105.1948604625895</v>
      </c>
      <c r="AL403" s="555">
        <v>104.86113485125321</v>
      </c>
      <c r="AM403" s="554">
        <v>12</v>
      </c>
      <c r="AN403" s="554">
        <v>1000000</v>
      </c>
      <c r="AO403" s="554">
        <v>0.12</v>
      </c>
      <c r="AP403" s="563">
        <f>AE403*AH403*AL403%*AM403/AN403*AO403</f>
        <v>0</v>
      </c>
      <c r="AQ403" s="563">
        <f t="shared" si="170"/>
        <v>0</v>
      </c>
      <c r="AR403" s="563">
        <f t="shared" si="171"/>
        <v>0</v>
      </c>
      <c r="AS403" s="554">
        <v>0.18</v>
      </c>
      <c r="AT403" s="563">
        <f t="shared" si="169"/>
        <v>0</v>
      </c>
    </row>
    <row r="404" spans="1:46" ht="32.25" customHeight="1">
      <c r="A404" s="763">
        <v>1</v>
      </c>
      <c r="B404" s="742" t="s">
        <v>274</v>
      </c>
      <c r="C404" s="742" t="s">
        <v>401</v>
      </c>
      <c r="D404" s="568" t="s">
        <v>273</v>
      </c>
      <c r="E404" s="578">
        <f>SUM(G404:Q404)</f>
        <v>263</v>
      </c>
      <c r="F404" s="578"/>
      <c r="G404" s="569">
        <f aca="true" t="shared" si="207" ref="G404:Q404">SUM(G405:G407)</f>
        <v>202.5</v>
      </c>
      <c r="H404" s="586"/>
      <c r="I404" s="578">
        <f t="shared" si="207"/>
        <v>47.5</v>
      </c>
      <c r="J404" s="578"/>
      <c r="K404" s="569">
        <f t="shared" si="207"/>
        <v>13</v>
      </c>
      <c r="L404" s="569"/>
      <c r="M404" s="569">
        <f t="shared" si="207"/>
        <v>0</v>
      </c>
      <c r="N404" s="586"/>
      <c r="O404" s="569">
        <f t="shared" si="207"/>
        <v>0</v>
      </c>
      <c r="P404" s="569"/>
      <c r="Q404" s="569">
        <f t="shared" si="207"/>
        <v>0</v>
      </c>
      <c r="R404" s="569"/>
      <c r="S404" s="762" t="s">
        <v>581</v>
      </c>
      <c r="T404" s="762" t="s">
        <v>319</v>
      </c>
      <c r="U404" s="493">
        <f>SUM(U405:U407)</f>
        <v>100</v>
      </c>
      <c r="V404" s="493"/>
      <c r="W404" s="577">
        <f>SUM(W405:W407)</f>
        <v>33.88603765350121</v>
      </c>
      <c r="X404" s="577"/>
      <c r="Y404" s="577">
        <f>SUM(Y405:Y407)</f>
        <v>28.403999999999996</v>
      </c>
      <c r="Z404" s="577"/>
      <c r="AA404" s="577">
        <f>SUM(AA405:AA407)</f>
        <v>2.9718126119630095</v>
      </c>
      <c r="AB404" s="577"/>
      <c r="AC404" s="577">
        <f>SUM(AC405:AC407)</f>
        <v>2.510225041538207</v>
      </c>
      <c r="AD404" s="700"/>
      <c r="AF404" s="520"/>
      <c r="AG404" s="520"/>
      <c r="AH404" s="512">
        <v>36012</v>
      </c>
      <c r="AJ404" s="513">
        <v>106.23302983559877</v>
      </c>
      <c r="AK404" s="514">
        <v>105.1948604625895</v>
      </c>
      <c r="AL404" s="513">
        <v>104.86113485125321</v>
      </c>
      <c r="AM404" s="512">
        <v>12</v>
      </c>
      <c r="AN404" s="512">
        <v>1000000</v>
      </c>
      <c r="AO404" s="512">
        <v>0.12</v>
      </c>
      <c r="AP404" s="523">
        <f>AE404*AH404*AJ404%*AM404/AN404*AO404</f>
        <v>0</v>
      </c>
      <c r="AQ404" s="523">
        <f t="shared" si="170"/>
        <v>0</v>
      </c>
      <c r="AR404" s="523">
        <f t="shared" si="171"/>
        <v>0</v>
      </c>
      <c r="AS404" s="512">
        <v>0.18</v>
      </c>
      <c r="AT404" s="523">
        <f t="shared" si="169"/>
        <v>28.403999999999996</v>
      </c>
    </row>
    <row r="405" spans="1:46" ht="32.25" customHeight="1">
      <c r="A405" s="763"/>
      <c r="B405" s="742"/>
      <c r="C405" s="742"/>
      <c r="D405" s="491">
        <v>2013</v>
      </c>
      <c r="E405" s="578">
        <f>G405+I405+K405</f>
        <v>63</v>
      </c>
      <c r="F405" s="578">
        <f>H405+L405</f>
        <v>54.125</v>
      </c>
      <c r="G405" s="569">
        <v>60</v>
      </c>
      <c r="H405" s="586">
        <v>51</v>
      </c>
      <c r="I405" s="578">
        <v>0</v>
      </c>
      <c r="J405" s="578"/>
      <c r="K405" s="569">
        <v>3</v>
      </c>
      <c r="L405" s="575">
        <f>2.759+0.326+0.04</f>
        <v>3.125</v>
      </c>
      <c r="M405" s="569">
        <v>0</v>
      </c>
      <c r="N405" s="586"/>
      <c r="O405" s="569">
        <v>0</v>
      </c>
      <c r="P405" s="569"/>
      <c r="Q405" s="569">
        <v>0</v>
      </c>
      <c r="R405" s="569"/>
      <c r="S405" s="762"/>
      <c r="T405" s="762"/>
      <c r="U405" s="493">
        <f>AE405</f>
        <v>50</v>
      </c>
      <c r="V405" s="493" t="s">
        <v>802</v>
      </c>
      <c r="W405" s="577">
        <f>SUM(Y405:AC405)</f>
        <v>9.5584779867165</v>
      </c>
      <c r="X405" s="577"/>
      <c r="Y405" s="577">
        <f>AT405</f>
        <v>6.803999999999999</v>
      </c>
      <c r="Z405" s="577"/>
      <c r="AA405" s="577">
        <f>AR405</f>
        <v>1.4932025165990146</v>
      </c>
      <c r="AB405" s="577"/>
      <c r="AC405" s="577">
        <f>AQ405</f>
        <v>1.261275470117485</v>
      </c>
      <c r="AD405" s="700"/>
      <c r="AE405" s="512">
        <f t="shared" si="197"/>
        <v>50</v>
      </c>
      <c r="AF405" s="520">
        <v>0</v>
      </c>
      <c r="AG405" s="512">
        <v>50</v>
      </c>
      <c r="AH405" s="512">
        <v>36012</v>
      </c>
      <c r="AJ405" s="513">
        <v>106.23302983559877</v>
      </c>
      <c r="AK405" s="514">
        <v>105.1948604625895</v>
      </c>
      <c r="AL405" s="513">
        <v>104.86113485125321</v>
      </c>
      <c r="AM405" s="512">
        <v>12</v>
      </c>
      <c r="AN405" s="512">
        <v>1000000</v>
      </c>
      <c r="AO405" s="512">
        <v>0.12</v>
      </c>
      <c r="AP405" s="523">
        <f>AE405*AH405*AJ405%*AM405/AN405*AO405</f>
        <v>2.7544779867164997</v>
      </c>
      <c r="AQ405" s="523">
        <f t="shared" si="170"/>
        <v>1.261275470117485</v>
      </c>
      <c r="AR405" s="523">
        <f t="shared" si="171"/>
        <v>1.4932025165990146</v>
      </c>
      <c r="AS405" s="512">
        <v>0.18</v>
      </c>
      <c r="AT405" s="523">
        <f t="shared" si="169"/>
        <v>6.803999999999999</v>
      </c>
    </row>
    <row r="406" spans="1:46" ht="32.25" customHeight="1">
      <c r="A406" s="763"/>
      <c r="B406" s="742"/>
      <c r="C406" s="742"/>
      <c r="D406" s="491">
        <v>2014</v>
      </c>
      <c r="E406" s="578">
        <v>200</v>
      </c>
      <c r="F406" s="578">
        <v>2.079</v>
      </c>
      <c r="G406" s="569">
        <v>142.5</v>
      </c>
      <c r="H406" s="586"/>
      <c r="I406" s="578">
        <v>47.5</v>
      </c>
      <c r="J406" s="578"/>
      <c r="K406" s="569">
        <v>10</v>
      </c>
      <c r="L406" s="569">
        <v>2.079</v>
      </c>
      <c r="M406" s="569">
        <v>0</v>
      </c>
      <c r="N406" s="586"/>
      <c r="O406" s="569">
        <v>0</v>
      </c>
      <c r="P406" s="569"/>
      <c r="Q406" s="569">
        <v>0</v>
      </c>
      <c r="R406" s="569"/>
      <c r="S406" s="762"/>
      <c r="T406" s="762"/>
      <c r="U406" s="493">
        <f>AE406</f>
        <v>50</v>
      </c>
      <c r="V406" s="493"/>
      <c r="W406" s="577">
        <f>SUM(Y406:AC406)</f>
        <v>24.327559666784712</v>
      </c>
      <c r="X406" s="577"/>
      <c r="Y406" s="577">
        <f>AT406</f>
        <v>21.599999999999998</v>
      </c>
      <c r="Z406" s="577"/>
      <c r="AA406" s="577">
        <f>AR406</f>
        <v>1.478610095363995</v>
      </c>
      <c r="AB406" s="577"/>
      <c r="AC406" s="577">
        <f>AQ406</f>
        <v>1.2489495714207217</v>
      </c>
      <c r="AD406" s="700"/>
      <c r="AE406" s="512">
        <f t="shared" si="197"/>
        <v>50</v>
      </c>
      <c r="AF406" s="520">
        <v>0</v>
      </c>
      <c r="AG406" s="512">
        <v>50</v>
      </c>
      <c r="AH406" s="512">
        <v>36012</v>
      </c>
      <c r="AJ406" s="513">
        <v>106.23302983559877</v>
      </c>
      <c r="AK406" s="514">
        <v>105.1948604625895</v>
      </c>
      <c r="AL406" s="513">
        <v>104.86113485125321</v>
      </c>
      <c r="AM406" s="512">
        <v>12</v>
      </c>
      <c r="AN406" s="512">
        <v>1000000</v>
      </c>
      <c r="AO406" s="512">
        <v>0.12</v>
      </c>
      <c r="AP406" s="523">
        <f>AE406*AH406*AK406%*AM406/AN406*AO406</f>
        <v>2.7275596667847166</v>
      </c>
      <c r="AQ406" s="523">
        <f t="shared" si="170"/>
        <v>1.2489495714207217</v>
      </c>
      <c r="AR406" s="523">
        <f t="shared" si="171"/>
        <v>1.478610095363995</v>
      </c>
      <c r="AS406" s="512">
        <v>0.18</v>
      </c>
      <c r="AT406" s="523">
        <f aca="true" t="shared" si="208" ref="AT406:AT469">E406*0.6*AS406</f>
        <v>21.599999999999998</v>
      </c>
    </row>
    <row r="407" spans="1:46" ht="32.25" customHeight="1">
      <c r="A407" s="763"/>
      <c r="B407" s="742"/>
      <c r="C407" s="742"/>
      <c r="D407" s="489">
        <v>2015</v>
      </c>
      <c r="E407" s="578">
        <f>SUM(G407:Q407)</f>
        <v>0</v>
      </c>
      <c r="F407" s="578">
        <v>0</v>
      </c>
      <c r="G407" s="569">
        <v>0</v>
      </c>
      <c r="H407" s="586"/>
      <c r="I407" s="578">
        <v>0</v>
      </c>
      <c r="J407" s="578"/>
      <c r="K407" s="569">
        <v>0</v>
      </c>
      <c r="L407" s="569"/>
      <c r="M407" s="569">
        <v>0</v>
      </c>
      <c r="N407" s="586"/>
      <c r="O407" s="569">
        <v>0</v>
      </c>
      <c r="P407" s="569"/>
      <c r="Q407" s="569">
        <v>0</v>
      </c>
      <c r="R407" s="569"/>
      <c r="S407" s="762"/>
      <c r="T407" s="762"/>
      <c r="U407" s="493">
        <f>AE407</f>
        <v>0</v>
      </c>
      <c r="V407" s="493"/>
      <c r="W407" s="577">
        <f>SUM(Y407:AC407)</f>
        <v>0</v>
      </c>
      <c r="X407" s="577"/>
      <c r="Y407" s="577">
        <f>AT407</f>
        <v>0</v>
      </c>
      <c r="Z407" s="577"/>
      <c r="AA407" s="577">
        <f>AR407</f>
        <v>0</v>
      </c>
      <c r="AB407" s="577"/>
      <c r="AC407" s="577">
        <f>AQ407</f>
        <v>0</v>
      </c>
      <c r="AD407" s="700"/>
      <c r="AE407" s="512">
        <f t="shared" si="197"/>
        <v>0</v>
      </c>
      <c r="AF407" s="520">
        <v>0</v>
      </c>
      <c r="AH407" s="512">
        <v>36012</v>
      </c>
      <c r="AJ407" s="513">
        <v>106.23302983559877</v>
      </c>
      <c r="AK407" s="514">
        <v>105.1948604625895</v>
      </c>
      <c r="AL407" s="513">
        <v>104.86113485125321</v>
      </c>
      <c r="AM407" s="512">
        <v>12</v>
      </c>
      <c r="AN407" s="512">
        <v>1000000</v>
      </c>
      <c r="AO407" s="512">
        <v>0.12</v>
      </c>
      <c r="AP407" s="523">
        <f>AE407*AH407*AL407%*AM407/AN407*AO407</f>
        <v>0</v>
      </c>
      <c r="AQ407" s="523">
        <f aca="true" t="shared" si="209" ref="AQ407:AQ470">AP407*0.4579</f>
        <v>0</v>
      </c>
      <c r="AR407" s="523">
        <f aca="true" t="shared" si="210" ref="AR407:AR470">AP407-AQ407</f>
        <v>0</v>
      </c>
      <c r="AS407" s="512">
        <v>0.18</v>
      </c>
      <c r="AT407" s="523">
        <f t="shared" si="208"/>
        <v>0</v>
      </c>
    </row>
    <row r="408" spans="1:46" s="553" customFormat="1" ht="18" customHeight="1">
      <c r="A408" s="763" t="s">
        <v>627</v>
      </c>
      <c r="B408" s="763"/>
      <c r="C408" s="763"/>
      <c r="D408" s="763"/>
      <c r="E408" s="763"/>
      <c r="F408" s="763"/>
      <c r="G408" s="763"/>
      <c r="H408" s="763"/>
      <c r="I408" s="763"/>
      <c r="J408" s="763"/>
      <c r="K408" s="763"/>
      <c r="L408" s="763"/>
      <c r="M408" s="763"/>
      <c r="N408" s="763"/>
      <c r="O408" s="763"/>
      <c r="P408" s="763"/>
      <c r="Q408" s="763"/>
      <c r="R408" s="763"/>
      <c r="S408" s="763"/>
      <c r="T408" s="763"/>
      <c r="U408" s="763"/>
      <c r="V408" s="763"/>
      <c r="W408" s="763"/>
      <c r="X408" s="763"/>
      <c r="Y408" s="763"/>
      <c r="Z408" s="763"/>
      <c r="AA408" s="763"/>
      <c r="AB408" s="763"/>
      <c r="AC408" s="763"/>
      <c r="AD408" s="696"/>
      <c r="AE408" s="554"/>
      <c r="AF408" s="554"/>
      <c r="AG408" s="554"/>
      <c r="AH408" s="554">
        <v>36012</v>
      </c>
      <c r="AI408" s="554"/>
      <c r="AJ408" s="555">
        <v>106.23302983559877</v>
      </c>
      <c r="AK408" s="556">
        <v>105.1948604625895</v>
      </c>
      <c r="AL408" s="555">
        <v>104.86113485125321</v>
      </c>
      <c r="AM408" s="554">
        <v>12</v>
      </c>
      <c r="AN408" s="554">
        <v>1000000</v>
      </c>
      <c r="AO408" s="554">
        <v>0.12</v>
      </c>
      <c r="AP408" s="563">
        <f>AE408*AH408*AJ408%*AM408/AN408*AO408</f>
        <v>0</v>
      </c>
      <c r="AQ408" s="563">
        <f t="shared" si="209"/>
        <v>0</v>
      </c>
      <c r="AR408" s="563">
        <f t="shared" si="210"/>
        <v>0</v>
      </c>
      <c r="AS408" s="554">
        <v>0.18</v>
      </c>
      <c r="AT408" s="563">
        <f t="shared" si="208"/>
        <v>0</v>
      </c>
    </row>
    <row r="409" spans="1:46" s="553" customFormat="1" ht="18" customHeight="1">
      <c r="A409" s="772"/>
      <c r="B409" s="771" t="s">
        <v>330</v>
      </c>
      <c r="C409" s="771"/>
      <c r="D409" s="558" t="s">
        <v>273</v>
      </c>
      <c r="E409" s="594">
        <f>E413+E417+E421+E425+E429</f>
        <v>461.4437</v>
      </c>
      <c r="F409" s="594">
        <f>SUM(F410:F412)</f>
        <v>1.0205</v>
      </c>
      <c r="G409" s="620">
        <f aca="true" t="shared" si="211" ref="G409:Q409">SUM(G410:G412)</f>
        <v>0.4437</v>
      </c>
      <c r="H409" s="685">
        <f>SUM(H410:H412)</f>
        <v>0</v>
      </c>
      <c r="I409" s="594">
        <f t="shared" si="211"/>
        <v>357</v>
      </c>
      <c r="J409" s="594">
        <f>SUM(J410:J412)</f>
        <v>1</v>
      </c>
      <c r="K409" s="620">
        <f t="shared" si="211"/>
        <v>104.006</v>
      </c>
      <c r="L409" s="620">
        <f>SUM(L410:L412)</f>
        <v>0.0205</v>
      </c>
      <c r="M409" s="620">
        <f t="shared" si="211"/>
        <v>0</v>
      </c>
      <c r="N409" s="685">
        <f>SUM(N410:N412)</f>
        <v>0</v>
      </c>
      <c r="O409" s="620">
        <f t="shared" si="211"/>
        <v>0</v>
      </c>
      <c r="P409" s="620">
        <f>SUM(P410:P412)</f>
        <v>0</v>
      </c>
      <c r="Q409" s="620">
        <f t="shared" si="211"/>
        <v>0</v>
      </c>
      <c r="R409" s="620">
        <f>SUM(R410:R412)</f>
        <v>0</v>
      </c>
      <c r="S409" s="766"/>
      <c r="T409" s="766"/>
      <c r="U409" s="559">
        <f aca="true" t="shared" si="212" ref="U409:AD409">SUM(U410:U412)</f>
        <v>170</v>
      </c>
      <c r="V409" s="620">
        <f t="shared" si="212"/>
        <v>0</v>
      </c>
      <c r="W409" s="594">
        <f t="shared" si="212"/>
        <v>59.13718878699982</v>
      </c>
      <c r="X409" s="594">
        <f t="shared" si="212"/>
        <v>0</v>
      </c>
      <c r="Y409" s="594">
        <f t="shared" si="212"/>
        <v>49.8365676</v>
      </c>
      <c r="Z409" s="594">
        <f t="shared" si="212"/>
        <v>0</v>
      </c>
      <c r="AA409" s="594">
        <f t="shared" si="212"/>
        <v>5.0418667454726025</v>
      </c>
      <c r="AB409" s="594">
        <f t="shared" si="212"/>
        <v>0</v>
      </c>
      <c r="AC409" s="594">
        <f t="shared" si="212"/>
        <v>4.258754441527217</v>
      </c>
      <c r="AD409" s="685">
        <f t="shared" si="212"/>
        <v>0</v>
      </c>
      <c r="AE409" s="554"/>
      <c r="AF409" s="677">
        <f>SUM(AF410:AF412)</f>
        <v>0</v>
      </c>
      <c r="AG409" s="677">
        <f>SUM(AG410:AG412)</f>
        <v>170</v>
      </c>
      <c r="AH409" s="554">
        <v>36012</v>
      </c>
      <c r="AI409" s="554"/>
      <c r="AJ409" s="555">
        <v>106.23302983559877</v>
      </c>
      <c r="AK409" s="556">
        <v>105.1948604625895</v>
      </c>
      <c r="AL409" s="555">
        <v>104.86113485125321</v>
      </c>
      <c r="AM409" s="554">
        <v>12</v>
      </c>
      <c r="AN409" s="554">
        <v>1000000</v>
      </c>
      <c r="AO409" s="554">
        <v>0.12</v>
      </c>
      <c r="AP409" s="563">
        <f>AE409*AH409*AJ409%*AM409/AN409*AO409</f>
        <v>0</v>
      </c>
      <c r="AQ409" s="563">
        <f t="shared" si="209"/>
        <v>0</v>
      </c>
      <c r="AR409" s="563">
        <f t="shared" si="210"/>
        <v>0</v>
      </c>
      <c r="AS409" s="554">
        <v>0.18</v>
      </c>
      <c r="AT409" s="563">
        <f t="shared" si="208"/>
        <v>49.8359196</v>
      </c>
    </row>
    <row r="410" spans="1:46" s="553" customFormat="1" ht="18" customHeight="1">
      <c r="A410" s="772"/>
      <c r="B410" s="771"/>
      <c r="C410" s="771"/>
      <c r="D410" s="558">
        <v>2013</v>
      </c>
      <c r="E410" s="594">
        <f>G410+I410+K410</f>
        <v>6.4497</v>
      </c>
      <c r="F410" s="594">
        <f>F422</f>
        <v>1</v>
      </c>
      <c r="G410" s="620">
        <f aca="true" t="shared" si="213" ref="G410:Q410">G414+G418+G422+G426+G430</f>
        <v>0.4437</v>
      </c>
      <c r="H410" s="685"/>
      <c r="I410" s="594">
        <f t="shared" si="213"/>
        <v>2</v>
      </c>
      <c r="J410" s="594">
        <f>J422</f>
        <v>1</v>
      </c>
      <c r="K410" s="620">
        <f t="shared" si="213"/>
        <v>4.006</v>
      </c>
      <c r="L410" s="620"/>
      <c r="M410" s="620">
        <f t="shared" si="213"/>
        <v>0</v>
      </c>
      <c r="N410" s="685"/>
      <c r="O410" s="620">
        <f t="shared" si="213"/>
        <v>0</v>
      </c>
      <c r="P410" s="620"/>
      <c r="Q410" s="620">
        <f t="shared" si="213"/>
        <v>0</v>
      </c>
      <c r="R410" s="620"/>
      <c r="S410" s="766"/>
      <c r="T410" s="766"/>
      <c r="U410" s="559">
        <f>U414+U418+U422+U426+U430</f>
        <v>50</v>
      </c>
      <c r="V410" s="559"/>
      <c r="W410" s="594">
        <f>SUM(Y410:AC410)</f>
        <v>3.451045586716499</v>
      </c>
      <c r="X410" s="594"/>
      <c r="Y410" s="594">
        <f>Y414+Y418+Y422+Y426+Y430</f>
        <v>0.6965675999999998</v>
      </c>
      <c r="Z410" s="594"/>
      <c r="AA410" s="594">
        <f aca="true" t="shared" si="214" ref="Y410:AC412">AA414+AA418+AA422+AA426+AA430</f>
        <v>1.4932025165990146</v>
      </c>
      <c r="AB410" s="594"/>
      <c r="AC410" s="594">
        <f t="shared" si="214"/>
        <v>1.261275470117485</v>
      </c>
      <c r="AD410" s="696"/>
      <c r="AE410" s="554"/>
      <c r="AF410" s="677">
        <f aca="true" t="shared" si="215" ref="AF410:AG412">AF414+AF418+AF422+AF426+AF430</f>
        <v>0</v>
      </c>
      <c r="AG410" s="677">
        <f t="shared" si="215"/>
        <v>50</v>
      </c>
      <c r="AH410" s="554">
        <v>36012</v>
      </c>
      <c r="AI410" s="554"/>
      <c r="AJ410" s="555">
        <v>106.23302983559877</v>
      </c>
      <c r="AK410" s="556">
        <v>105.1948604625895</v>
      </c>
      <c r="AL410" s="555">
        <v>104.86113485125321</v>
      </c>
      <c r="AM410" s="554">
        <v>12</v>
      </c>
      <c r="AN410" s="554">
        <v>1000000</v>
      </c>
      <c r="AO410" s="554">
        <v>0.12</v>
      </c>
      <c r="AP410" s="563">
        <f>AE410*AH410*AJ410%*AM410/AN410*AO410</f>
        <v>0</v>
      </c>
      <c r="AQ410" s="563">
        <f t="shared" si="209"/>
        <v>0</v>
      </c>
      <c r="AR410" s="563">
        <f t="shared" si="210"/>
        <v>0</v>
      </c>
      <c r="AS410" s="554">
        <v>0.18</v>
      </c>
      <c r="AT410" s="563">
        <f t="shared" si="208"/>
        <v>0.6965676</v>
      </c>
    </row>
    <row r="411" spans="1:46" s="553" customFormat="1" ht="18" customHeight="1">
      <c r="A411" s="772"/>
      <c r="B411" s="771"/>
      <c r="C411" s="771"/>
      <c r="D411" s="558">
        <v>2014</v>
      </c>
      <c r="E411" s="594">
        <f>G411+I411+K411</f>
        <v>455</v>
      </c>
      <c r="F411" s="594">
        <f>F431</f>
        <v>0.0205</v>
      </c>
      <c r="G411" s="620">
        <f aca="true" t="shared" si="216" ref="G411:Q411">G415+G419+G423+G427+G431</f>
        <v>0</v>
      </c>
      <c r="H411" s="685"/>
      <c r="I411" s="594">
        <f t="shared" si="216"/>
        <v>355</v>
      </c>
      <c r="J411" s="594"/>
      <c r="K411" s="620">
        <f t="shared" si="216"/>
        <v>100</v>
      </c>
      <c r="L411" s="679">
        <f>L431</f>
        <v>0.0205</v>
      </c>
      <c r="M411" s="620">
        <f t="shared" si="216"/>
        <v>0</v>
      </c>
      <c r="N411" s="685"/>
      <c r="O411" s="620">
        <f t="shared" si="216"/>
        <v>0</v>
      </c>
      <c r="P411" s="620"/>
      <c r="Q411" s="620">
        <f t="shared" si="216"/>
        <v>0</v>
      </c>
      <c r="R411" s="620"/>
      <c r="S411" s="766"/>
      <c r="T411" s="766"/>
      <c r="U411" s="559">
        <f>U415+U419+U423+U427+U431</f>
        <v>120</v>
      </c>
      <c r="V411" s="559"/>
      <c r="W411" s="594">
        <f>SUM(Y411:AC411)</f>
        <v>55.686143200283325</v>
      </c>
      <c r="X411" s="594"/>
      <c r="Y411" s="594">
        <f t="shared" si="214"/>
        <v>49.14</v>
      </c>
      <c r="Z411" s="594"/>
      <c r="AA411" s="594">
        <f t="shared" si="214"/>
        <v>3.548664228873588</v>
      </c>
      <c r="AB411" s="594"/>
      <c r="AC411" s="594">
        <f t="shared" si="214"/>
        <v>2.9974789714097323</v>
      </c>
      <c r="AD411" s="696"/>
      <c r="AE411" s="554"/>
      <c r="AF411" s="677">
        <f t="shared" si="215"/>
        <v>0</v>
      </c>
      <c r="AG411" s="677">
        <f t="shared" si="215"/>
        <v>120</v>
      </c>
      <c r="AH411" s="554">
        <v>36012</v>
      </c>
      <c r="AI411" s="554"/>
      <c r="AJ411" s="555">
        <v>106.23302983559877</v>
      </c>
      <c r="AK411" s="556">
        <v>105.1948604625895</v>
      </c>
      <c r="AL411" s="555">
        <v>104.86113485125321</v>
      </c>
      <c r="AM411" s="554">
        <v>12</v>
      </c>
      <c r="AN411" s="554">
        <v>1000000</v>
      </c>
      <c r="AO411" s="554">
        <v>0.12</v>
      </c>
      <c r="AP411" s="563">
        <f>AE411*AH411*AK411%*AM411/AN411*AO411</f>
        <v>0</v>
      </c>
      <c r="AQ411" s="563">
        <f t="shared" si="209"/>
        <v>0</v>
      </c>
      <c r="AR411" s="563">
        <f t="shared" si="210"/>
        <v>0</v>
      </c>
      <c r="AS411" s="554">
        <v>0.18</v>
      </c>
      <c r="AT411" s="563">
        <f t="shared" si="208"/>
        <v>49.14</v>
      </c>
    </row>
    <row r="412" spans="1:46" s="553" customFormat="1" ht="18" customHeight="1">
      <c r="A412" s="772"/>
      <c r="B412" s="771"/>
      <c r="C412" s="771"/>
      <c r="D412" s="678">
        <v>2015</v>
      </c>
      <c r="E412" s="594">
        <v>0</v>
      </c>
      <c r="F412" s="594">
        <f>F416+F420+F424+F428+F432</f>
        <v>0</v>
      </c>
      <c r="G412" s="620">
        <f aca="true" t="shared" si="217" ref="G412:Q412">G416+G420+G424+G428+G432</f>
        <v>0</v>
      </c>
      <c r="H412" s="685">
        <f>H416+H420+H424+H428+H432</f>
        <v>0</v>
      </c>
      <c r="I412" s="594">
        <f t="shared" si="217"/>
        <v>0</v>
      </c>
      <c r="J412" s="594">
        <f>J416+J420+J424+J428+J432</f>
        <v>0</v>
      </c>
      <c r="K412" s="620">
        <f t="shared" si="217"/>
        <v>0</v>
      </c>
      <c r="L412" s="620">
        <f>L416+L420+L424+L428+L432</f>
        <v>0</v>
      </c>
      <c r="M412" s="620">
        <f t="shared" si="217"/>
        <v>0</v>
      </c>
      <c r="N412" s="685">
        <f>N416+N420+N424+N428+N432</f>
        <v>0</v>
      </c>
      <c r="O412" s="620">
        <f t="shared" si="217"/>
        <v>0</v>
      </c>
      <c r="P412" s="620">
        <f>P416+P420+P424+P428+P432</f>
        <v>0</v>
      </c>
      <c r="Q412" s="620">
        <f t="shared" si="217"/>
        <v>0</v>
      </c>
      <c r="R412" s="620">
        <f>R416+R420+R424+R428+R432</f>
        <v>0</v>
      </c>
      <c r="S412" s="766"/>
      <c r="T412" s="766"/>
      <c r="U412" s="559">
        <f>U416+U420+U424+U428+U432</f>
        <v>0</v>
      </c>
      <c r="V412" s="620">
        <f>V416+V420+V424+V428+V432</f>
        <v>0</v>
      </c>
      <c r="W412" s="594">
        <f>SUM(Y412:AC412)</f>
        <v>0</v>
      </c>
      <c r="X412" s="594">
        <f>X416+X420+X424+X428+X432</f>
        <v>0</v>
      </c>
      <c r="Y412" s="594">
        <f t="shared" si="214"/>
        <v>0</v>
      </c>
      <c r="Z412" s="594">
        <f>Z416+Z420+Z424+Z428+Z432</f>
        <v>0</v>
      </c>
      <c r="AA412" s="594">
        <f t="shared" si="214"/>
        <v>0</v>
      </c>
      <c r="AB412" s="594">
        <f>AB416+AB420+AB424+AB428+AB432</f>
        <v>0</v>
      </c>
      <c r="AC412" s="594">
        <f>AC416+AC420+AC424+AC428+AC432</f>
        <v>0</v>
      </c>
      <c r="AD412" s="685">
        <f>AD416+AD420+AD424+AD428+AD432</f>
        <v>0</v>
      </c>
      <c r="AE412" s="554"/>
      <c r="AF412" s="677">
        <f t="shared" si="215"/>
        <v>0</v>
      </c>
      <c r="AG412" s="677">
        <f t="shared" si="215"/>
        <v>0</v>
      </c>
      <c r="AH412" s="554">
        <v>36012</v>
      </c>
      <c r="AI412" s="554"/>
      <c r="AJ412" s="555">
        <v>106.23302983559877</v>
      </c>
      <c r="AK412" s="556">
        <v>105.1948604625895</v>
      </c>
      <c r="AL412" s="555">
        <v>104.86113485125321</v>
      </c>
      <c r="AM412" s="554">
        <v>12</v>
      </c>
      <c r="AN412" s="554">
        <v>1000000</v>
      </c>
      <c r="AO412" s="554">
        <v>0.12</v>
      </c>
      <c r="AP412" s="563">
        <f>AE412*AH412*AL412%*AM412/AN412*AO412</f>
        <v>0</v>
      </c>
      <c r="AQ412" s="563">
        <f t="shared" si="209"/>
        <v>0</v>
      </c>
      <c r="AR412" s="563">
        <f t="shared" si="210"/>
        <v>0</v>
      </c>
      <c r="AS412" s="554">
        <v>0.18</v>
      </c>
      <c r="AT412" s="563">
        <f t="shared" si="208"/>
        <v>0</v>
      </c>
    </row>
    <row r="413" spans="1:46" ht="18" customHeight="1">
      <c r="A413" s="763">
        <v>1</v>
      </c>
      <c r="B413" s="742" t="s">
        <v>862</v>
      </c>
      <c r="C413" s="742" t="s">
        <v>331</v>
      </c>
      <c r="D413" s="568" t="s">
        <v>273</v>
      </c>
      <c r="E413" s="578">
        <f aca="true" t="shared" si="218" ref="E413:E429">SUM(G413:Q413)</f>
        <v>152</v>
      </c>
      <c r="F413" s="578"/>
      <c r="G413" s="569">
        <f aca="true" t="shared" si="219" ref="G413:Q413">SUM(G414:G416)</f>
        <v>0</v>
      </c>
      <c r="H413" s="586"/>
      <c r="I413" s="578">
        <f t="shared" si="219"/>
        <v>100</v>
      </c>
      <c r="J413" s="578"/>
      <c r="K413" s="569">
        <f t="shared" si="219"/>
        <v>52</v>
      </c>
      <c r="L413" s="569"/>
      <c r="M413" s="569">
        <f t="shared" si="219"/>
        <v>0</v>
      </c>
      <c r="N413" s="586"/>
      <c r="O413" s="569">
        <f t="shared" si="219"/>
        <v>0</v>
      </c>
      <c r="P413" s="569"/>
      <c r="Q413" s="569">
        <f t="shared" si="219"/>
        <v>0</v>
      </c>
      <c r="R413" s="569"/>
      <c r="S413" s="762" t="s">
        <v>581</v>
      </c>
      <c r="T413" s="762" t="s">
        <v>320</v>
      </c>
      <c r="U413" s="493">
        <f>SUM(U414:U416)</f>
        <v>50</v>
      </c>
      <c r="V413" s="493"/>
      <c r="W413" s="577">
        <f>SUM(W414:W416)</f>
        <v>19.15701882675061</v>
      </c>
      <c r="X413" s="577"/>
      <c r="Y413" s="577">
        <f>SUM(Y414:Y416)</f>
        <v>16.416</v>
      </c>
      <c r="Z413" s="577"/>
      <c r="AA413" s="577">
        <f>SUM(AA414:AA416)</f>
        <v>1.4859063059815047</v>
      </c>
      <c r="AB413" s="577"/>
      <c r="AC413" s="577">
        <f>SUM(AC414:AC416)</f>
        <v>1.2551125207691034</v>
      </c>
      <c r="AD413" s="700"/>
      <c r="AF413" s="520"/>
      <c r="AG413" s="520"/>
      <c r="AH413" s="512">
        <v>36012</v>
      </c>
      <c r="AJ413" s="513">
        <v>106.23302983559877</v>
      </c>
      <c r="AK413" s="514">
        <v>105.1948604625895</v>
      </c>
      <c r="AL413" s="513">
        <v>104.86113485125321</v>
      </c>
      <c r="AM413" s="512">
        <v>12</v>
      </c>
      <c r="AN413" s="512">
        <v>1000000</v>
      </c>
      <c r="AO413" s="512">
        <v>0.12</v>
      </c>
      <c r="AP413" s="523">
        <f>AE413*AH413*AJ413%*AM413/AN413*AO413</f>
        <v>0</v>
      </c>
      <c r="AQ413" s="523">
        <f t="shared" si="209"/>
        <v>0</v>
      </c>
      <c r="AR413" s="523">
        <f t="shared" si="210"/>
        <v>0</v>
      </c>
      <c r="AS413" s="512">
        <v>0.18</v>
      </c>
      <c r="AT413" s="523">
        <f t="shared" si="208"/>
        <v>16.416</v>
      </c>
    </row>
    <row r="414" spans="1:46" ht="18" customHeight="1">
      <c r="A414" s="763"/>
      <c r="B414" s="742"/>
      <c r="C414" s="742"/>
      <c r="D414" s="491">
        <v>2013</v>
      </c>
      <c r="E414" s="578">
        <f t="shared" si="218"/>
        <v>2</v>
      </c>
      <c r="F414" s="578"/>
      <c r="G414" s="569">
        <v>0</v>
      </c>
      <c r="H414" s="586"/>
      <c r="I414" s="578">
        <v>0</v>
      </c>
      <c r="J414" s="578"/>
      <c r="K414" s="569">
        <v>2</v>
      </c>
      <c r="L414" s="569"/>
      <c r="M414" s="569">
        <v>0</v>
      </c>
      <c r="N414" s="586"/>
      <c r="O414" s="569">
        <v>0</v>
      </c>
      <c r="P414" s="569"/>
      <c r="Q414" s="569">
        <v>0</v>
      </c>
      <c r="R414" s="569"/>
      <c r="S414" s="762"/>
      <c r="T414" s="762"/>
      <c r="U414" s="493">
        <f>AE414</f>
        <v>25</v>
      </c>
      <c r="V414" s="493"/>
      <c r="W414" s="577">
        <f>SUM(Y414:AC414)</f>
        <v>1.5932389933582498</v>
      </c>
      <c r="X414" s="577"/>
      <c r="Y414" s="577">
        <f>AT414</f>
        <v>0.216</v>
      </c>
      <c r="Z414" s="577"/>
      <c r="AA414" s="577">
        <f>AR414</f>
        <v>0.7466012582995073</v>
      </c>
      <c r="AB414" s="577"/>
      <c r="AC414" s="577">
        <f>AQ414</f>
        <v>0.6306377350587425</v>
      </c>
      <c r="AD414" s="700"/>
      <c r="AE414" s="512">
        <f t="shared" si="197"/>
        <v>25</v>
      </c>
      <c r="AF414" s="520">
        <v>0</v>
      </c>
      <c r="AG414" s="512">
        <v>25</v>
      </c>
      <c r="AH414" s="512">
        <v>36012</v>
      </c>
      <c r="AJ414" s="513">
        <v>106.23302983559877</v>
      </c>
      <c r="AK414" s="514">
        <v>105.1948604625895</v>
      </c>
      <c r="AL414" s="513">
        <v>104.86113485125321</v>
      </c>
      <c r="AM414" s="512">
        <v>12</v>
      </c>
      <c r="AN414" s="512">
        <v>1000000</v>
      </c>
      <c r="AO414" s="512">
        <v>0.12</v>
      </c>
      <c r="AP414" s="523">
        <f>AE414*AH414*AJ414%*AM414/AN414*AO414</f>
        <v>1.3772389933582498</v>
      </c>
      <c r="AQ414" s="523">
        <f t="shared" si="209"/>
        <v>0.6306377350587425</v>
      </c>
      <c r="AR414" s="523">
        <f t="shared" si="210"/>
        <v>0.7466012582995073</v>
      </c>
      <c r="AS414" s="512">
        <v>0.18</v>
      </c>
      <c r="AT414" s="523">
        <f t="shared" si="208"/>
        <v>0.216</v>
      </c>
    </row>
    <row r="415" spans="1:46" ht="18" customHeight="1">
      <c r="A415" s="763"/>
      <c r="B415" s="742"/>
      <c r="C415" s="742"/>
      <c r="D415" s="491">
        <v>2014</v>
      </c>
      <c r="E415" s="578">
        <f t="shared" si="218"/>
        <v>150</v>
      </c>
      <c r="F415" s="578"/>
      <c r="G415" s="569">
        <v>0</v>
      </c>
      <c r="H415" s="586"/>
      <c r="I415" s="578">
        <v>100</v>
      </c>
      <c r="J415" s="578"/>
      <c r="K415" s="569">
        <v>50</v>
      </c>
      <c r="L415" s="569"/>
      <c r="M415" s="569">
        <v>0</v>
      </c>
      <c r="N415" s="586"/>
      <c r="O415" s="569">
        <v>0</v>
      </c>
      <c r="P415" s="569"/>
      <c r="Q415" s="569">
        <v>0</v>
      </c>
      <c r="R415" s="569"/>
      <c r="S415" s="762"/>
      <c r="T415" s="762"/>
      <c r="U415" s="493">
        <f>AE415</f>
        <v>25</v>
      </c>
      <c r="V415" s="493"/>
      <c r="W415" s="577">
        <f>SUM(Y415:AC415)</f>
        <v>17.56377983339236</v>
      </c>
      <c r="X415" s="577"/>
      <c r="Y415" s="577">
        <f>AT415</f>
        <v>16.2</v>
      </c>
      <c r="Z415" s="577"/>
      <c r="AA415" s="577">
        <f>AR415</f>
        <v>0.7393050476819975</v>
      </c>
      <c r="AB415" s="577"/>
      <c r="AC415" s="577">
        <f>AQ415</f>
        <v>0.6244747857103609</v>
      </c>
      <c r="AD415" s="700"/>
      <c r="AE415" s="512">
        <f t="shared" si="197"/>
        <v>25</v>
      </c>
      <c r="AF415" s="520">
        <v>0</v>
      </c>
      <c r="AG415" s="512">
        <v>25</v>
      </c>
      <c r="AH415" s="512">
        <v>36012</v>
      </c>
      <c r="AJ415" s="513">
        <v>106.23302983559877</v>
      </c>
      <c r="AK415" s="514">
        <v>105.1948604625895</v>
      </c>
      <c r="AL415" s="513">
        <v>104.86113485125321</v>
      </c>
      <c r="AM415" s="512">
        <v>12</v>
      </c>
      <c r="AN415" s="512">
        <v>1000000</v>
      </c>
      <c r="AO415" s="512">
        <v>0.12</v>
      </c>
      <c r="AP415" s="523">
        <f>AE415*AH415*AK415%*AM415/AN415*AO415</f>
        <v>1.3637798333923583</v>
      </c>
      <c r="AQ415" s="523">
        <f t="shared" si="209"/>
        <v>0.6244747857103609</v>
      </c>
      <c r="AR415" s="523">
        <f t="shared" si="210"/>
        <v>0.7393050476819975</v>
      </c>
      <c r="AS415" s="512">
        <v>0.18</v>
      </c>
      <c r="AT415" s="523">
        <f t="shared" si="208"/>
        <v>16.2</v>
      </c>
    </row>
    <row r="416" spans="1:46" ht="18" customHeight="1">
      <c r="A416" s="763"/>
      <c r="B416" s="742"/>
      <c r="C416" s="742"/>
      <c r="D416" s="489">
        <v>2015</v>
      </c>
      <c r="E416" s="578">
        <f t="shared" si="218"/>
        <v>0</v>
      </c>
      <c r="F416" s="578">
        <v>0</v>
      </c>
      <c r="G416" s="569">
        <v>0</v>
      </c>
      <c r="H416" s="586"/>
      <c r="I416" s="578">
        <v>0</v>
      </c>
      <c r="J416" s="578"/>
      <c r="K416" s="569">
        <v>0</v>
      </c>
      <c r="L416" s="569"/>
      <c r="M416" s="569">
        <v>0</v>
      </c>
      <c r="N416" s="586"/>
      <c r="O416" s="569">
        <v>0</v>
      </c>
      <c r="P416" s="569"/>
      <c r="Q416" s="569">
        <v>0</v>
      </c>
      <c r="R416" s="569"/>
      <c r="S416" s="762"/>
      <c r="T416" s="762"/>
      <c r="U416" s="493">
        <f>AE416</f>
        <v>0</v>
      </c>
      <c r="V416" s="493"/>
      <c r="W416" s="577">
        <f>SUM(Y416:AC416)</f>
        <v>0</v>
      </c>
      <c r="X416" s="577"/>
      <c r="Y416" s="577">
        <f>AT416</f>
        <v>0</v>
      </c>
      <c r="Z416" s="577"/>
      <c r="AA416" s="577">
        <f>AR416</f>
        <v>0</v>
      </c>
      <c r="AB416" s="577"/>
      <c r="AC416" s="577">
        <f>AQ416</f>
        <v>0</v>
      </c>
      <c r="AD416" s="700"/>
      <c r="AE416" s="512">
        <f t="shared" si="197"/>
        <v>0</v>
      </c>
      <c r="AF416" s="520">
        <v>0</v>
      </c>
      <c r="AH416" s="512">
        <v>36012</v>
      </c>
      <c r="AJ416" s="513">
        <v>106.23302983559877</v>
      </c>
      <c r="AK416" s="514">
        <v>105.1948604625895</v>
      </c>
      <c r="AL416" s="513">
        <v>104.86113485125321</v>
      </c>
      <c r="AM416" s="512">
        <v>12</v>
      </c>
      <c r="AN416" s="512">
        <v>1000000</v>
      </c>
      <c r="AO416" s="512">
        <v>0.12</v>
      </c>
      <c r="AP416" s="523">
        <f>AE416*AH416*AL416%*AM416/AN416*AO416</f>
        <v>0</v>
      </c>
      <c r="AQ416" s="523">
        <f t="shared" si="209"/>
        <v>0</v>
      </c>
      <c r="AR416" s="523">
        <f t="shared" si="210"/>
        <v>0</v>
      </c>
      <c r="AS416" s="512">
        <v>0.18</v>
      </c>
      <c r="AT416" s="523">
        <f t="shared" si="208"/>
        <v>0</v>
      </c>
    </row>
    <row r="417" spans="1:46" ht="18" customHeight="1">
      <c r="A417" s="763">
        <v>2</v>
      </c>
      <c r="B417" s="742" t="s">
        <v>863</v>
      </c>
      <c r="C417" s="742" t="s">
        <v>331</v>
      </c>
      <c r="D417" s="568" t="s">
        <v>273</v>
      </c>
      <c r="E417" s="578">
        <v>152</v>
      </c>
      <c r="F417" s="578"/>
      <c r="G417" s="569">
        <f aca="true" t="shared" si="220" ref="G417:Q417">SUM(G418:G420)</f>
        <v>0</v>
      </c>
      <c r="H417" s="586"/>
      <c r="I417" s="578">
        <f t="shared" si="220"/>
        <v>100</v>
      </c>
      <c r="J417" s="578"/>
      <c r="K417" s="569">
        <f t="shared" si="220"/>
        <v>52</v>
      </c>
      <c r="L417" s="569"/>
      <c r="M417" s="569">
        <f t="shared" si="220"/>
        <v>0</v>
      </c>
      <c r="N417" s="586"/>
      <c r="O417" s="569">
        <f t="shared" si="220"/>
        <v>0</v>
      </c>
      <c r="P417" s="569"/>
      <c r="Q417" s="569">
        <f t="shared" si="220"/>
        <v>0</v>
      </c>
      <c r="R417" s="569"/>
      <c r="S417" s="762" t="s">
        <v>581</v>
      </c>
      <c r="T417" s="762" t="s">
        <v>320</v>
      </c>
      <c r="U417" s="493">
        <f>SUM(U418:U420)</f>
        <v>50</v>
      </c>
      <c r="V417" s="493"/>
      <c r="W417" s="577">
        <f>SUM(W418:W420)</f>
        <v>19.15701882675061</v>
      </c>
      <c r="X417" s="577"/>
      <c r="Y417" s="577">
        <f>SUM(Y418:Y420)</f>
        <v>16.416</v>
      </c>
      <c r="Z417" s="577"/>
      <c r="AA417" s="577">
        <f>SUM(AA418:AA420)</f>
        <v>1.4859063059815047</v>
      </c>
      <c r="AB417" s="577"/>
      <c r="AC417" s="577">
        <f>SUM(AC418:AC420)</f>
        <v>1.2551125207691034</v>
      </c>
      <c r="AD417" s="700"/>
      <c r="AF417" s="520"/>
      <c r="AG417" s="520"/>
      <c r="AH417" s="512">
        <v>36012</v>
      </c>
      <c r="AJ417" s="513">
        <v>106.23302983559877</v>
      </c>
      <c r="AK417" s="514">
        <v>105.1948604625895</v>
      </c>
      <c r="AL417" s="513">
        <v>104.86113485125321</v>
      </c>
      <c r="AM417" s="512">
        <v>12</v>
      </c>
      <c r="AN417" s="512">
        <v>1000000</v>
      </c>
      <c r="AO417" s="512">
        <v>0.12</v>
      </c>
      <c r="AP417" s="523">
        <f>AE417*AH417*AJ417%*AM417/AN417*AO417</f>
        <v>0</v>
      </c>
      <c r="AQ417" s="523">
        <f t="shared" si="209"/>
        <v>0</v>
      </c>
      <c r="AR417" s="523">
        <f t="shared" si="210"/>
        <v>0</v>
      </c>
      <c r="AS417" s="512">
        <v>0.18</v>
      </c>
      <c r="AT417" s="523">
        <f t="shared" si="208"/>
        <v>16.416</v>
      </c>
    </row>
    <row r="418" spans="1:46" ht="18" customHeight="1">
      <c r="A418" s="763"/>
      <c r="B418" s="742"/>
      <c r="C418" s="742"/>
      <c r="D418" s="491">
        <v>2013</v>
      </c>
      <c r="E418" s="578">
        <f t="shared" si="218"/>
        <v>2</v>
      </c>
      <c r="F418" s="578"/>
      <c r="G418" s="569">
        <v>0</v>
      </c>
      <c r="H418" s="586"/>
      <c r="I418" s="578">
        <v>0</v>
      </c>
      <c r="J418" s="578"/>
      <c r="K418" s="569">
        <v>2</v>
      </c>
      <c r="L418" s="569"/>
      <c r="M418" s="569">
        <v>0</v>
      </c>
      <c r="N418" s="586"/>
      <c r="O418" s="569">
        <v>0</v>
      </c>
      <c r="P418" s="569"/>
      <c r="Q418" s="569">
        <v>0</v>
      </c>
      <c r="R418" s="569"/>
      <c r="S418" s="762"/>
      <c r="T418" s="762"/>
      <c r="U418" s="493">
        <f>AE418</f>
        <v>25</v>
      </c>
      <c r="V418" s="493"/>
      <c r="W418" s="577">
        <f>SUM(Y418:AC418)</f>
        <v>1.5932389933582498</v>
      </c>
      <c r="X418" s="577"/>
      <c r="Y418" s="577">
        <f>AT418</f>
        <v>0.216</v>
      </c>
      <c r="Z418" s="577"/>
      <c r="AA418" s="577">
        <f>AR418</f>
        <v>0.7466012582995073</v>
      </c>
      <c r="AB418" s="577"/>
      <c r="AC418" s="577">
        <f>AQ418</f>
        <v>0.6306377350587425</v>
      </c>
      <c r="AD418" s="700"/>
      <c r="AE418" s="512">
        <f t="shared" si="197"/>
        <v>25</v>
      </c>
      <c r="AF418" s="520">
        <v>0</v>
      </c>
      <c r="AG418" s="512">
        <v>25</v>
      </c>
      <c r="AH418" s="512">
        <v>36012</v>
      </c>
      <c r="AJ418" s="513">
        <v>106.23302983559877</v>
      </c>
      <c r="AK418" s="514">
        <v>105.1948604625895</v>
      </c>
      <c r="AL418" s="513">
        <v>104.86113485125321</v>
      </c>
      <c r="AM418" s="512">
        <v>12</v>
      </c>
      <c r="AN418" s="512">
        <v>1000000</v>
      </c>
      <c r="AO418" s="512">
        <v>0.12</v>
      </c>
      <c r="AP418" s="523">
        <f>AE418*AH418*AJ418%*AM418/AN418*AO418</f>
        <v>1.3772389933582498</v>
      </c>
      <c r="AQ418" s="523">
        <f t="shared" si="209"/>
        <v>0.6306377350587425</v>
      </c>
      <c r="AR418" s="523">
        <f t="shared" si="210"/>
        <v>0.7466012582995073</v>
      </c>
      <c r="AS418" s="512">
        <v>0.18</v>
      </c>
      <c r="AT418" s="523">
        <f t="shared" si="208"/>
        <v>0.216</v>
      </c>
    </row>
    <row r="419" spans="1:46" ht="18" customHeight="1">
      <c r="A419" s="763"/>
      <c r="B419" s="742"/>
      <c r="C419" s="742"/>
      <c r="D419" s="491">
        <v>2014</v>
      </c>
      <c r="E419" s="578">
        <f t="shared" si="218"/>
        <v>150</v>
      </c>
      <c r="F419" s="578"/>
      <c r="G419" s="569">
        <v>0</v>
      </c>
      <c r="H419" s="586"/>
      <c r="I419" s="578">
        <v>100</v>
      </c>
      <c r="J419" s="578"/>
      <c r="K419" s="569">
        <v>50</v>
      </c>
      <c r="L419" s="569"/>
      <c r="M419" s="569">
        <v>0</v>
      </c>
      <c r="N419" s="586"/>
      <c r="O419" s="569">
        <v>0</v>
      </c>
      <c r="P419" s="569"/>
      <c r="Q419" s="569">
        <v>0</v>
      </c>
      <c r="R419" s="569"/>
      <c r="S419" s="762"/>
      <c r="T419" s="762"/>
      <c r="U419" s="493">
        <f>AE419</f>
        <v>25</v>
      </c>
      <c r="V419" s="493"/>
      <c r="W419" s="577">
        <f>SUM(Y419:AC419)</f>
        <v>17.56377983339236</v>
      </c>
      <c r="X419" s="577"/>
      <c r="Y419" s="577">
        <f>AT419</f>
        <v>16.2</v>
      </c>
      <c r="Z419" s="577"/>
      <c r="AA419" s="577">
        <f>AR419</f>
        <v>0.7393050476819975</v>
      </c>
      <c r="AB419" s="577"/>
      <c r="AC419" s="577">
        <f>AQ419</f>
        <v>0.6244747857103609</v>
      </c>
      <c r="AD419" s="700"/>
      <c r="AE419" s="512">
        <f t="shared" si="197"/>
        <v>25</v>
      </c>
      <c r="AF419" s="520">
        <v>0</v>
      </c>
      <c r="AG419" s="512">
        <v>25</v>
      </c>
      <c r="AH419" s="512">
        <v>36012</v>
      </c>
      <c r="AJ419" s="513">
        <v>106.23302983559877</v>
      </c>
      <c r="AK419" s="514">
        <v>105.1948604625895</v>
      </c>
      <c r="AL419" s="513">
        <v>104.86113485125321</v>
      </c>
      <c r="AM419" s="512">
        <v>12</v>
      </c>
      <c r="AN419" s="512">
        <v>1000000</v>
      </c>
      <c r="AO419" s="512">
        <v>0.12</v>
      </c>
      <c r="AP419" s="523">
        <f>AE419*AH419*AK419%*AM419/AN419*AO419</f>
        <v>1.3637798333923583</v>
      </c>
      <c r="AQ419" s="523">
        <f t="shared" si="209"/>
        <v>0.6244747857103609</v>
      </c>
      <c r="AR419" s="523">
        <f t="shared" si="210"/>
        <v>0.7393050476819975</v>
      </c>
      <c r="AS419" s="512">
        <v>0.18</v>
      </c>
      <c r="AT419" s="523">
        <f t="shared" si="208"/>
        <v>16.2</v>
      </c>
    </row>
    <row r="420" spans="1:46" ht="18" customHeight="1">
      <c r="A420" s="763"/>
      <c r="B420" s="742"/>
      <c r="C420" s="742"/>
      <c r="D420" s="489">
        <v>2015</v>
      </c>
      <c r="E420" s="578">
        <f t="shared" si="218"/>
        <v>0</v>
      </c>
      <c r="F420" s="578"/>
      <c r="G420" s="569">
        <v>0</v>
      </c>
      <c r="H420" s="586"/>
      <c r="I420" s="578">
        <v>0</v>
      </c>
      <c r="J420" s="578"/>
      <c r="K420" s="569">
        <v>0</v>
      </c>
      <c r="L420" s="569"/>
      <c r="M420" s="569">
        <v>0</v>
      </c>
      <c r="N420" s="586"/>
      <c r="O420" s="569">
        <v>0</v>
      </c>
      <c r="P420" s="569"/>
      <c r="Q420" s="569">
        <v>0</v>
      </c>
      <c r="R420" s="569"/>
      <c r="S420" s="762"/>
      <c r="T420" s="762"/>
      <c r="U420" s="493">
        <f>AE420</f>
        <v>0</v>
      </c>
      <c r="V420" s="493"/>
      <c r="W420" s="577">
        <f>SUM(Y420:AC420)</f>
        <v>0</v>
      </c>
      <c r="X420" s="577"/>
      <c r="Y420" s="577">
        <f>AT420</f>
        <v>0</v>
      </c>
      <c r="Z420" s="577"/>
      <c r="AA420" s="577">
        <f>AR420</f>
        <v>0</v>
      </c>
      <c r="AB420" s="577"/>
      <c r="AC420" s="577">
        <f>AQ420</f>
        <v>0</v>
      </c>
      <c r="AD420" s="700"/>
      <c r="AE420" s="512">
        <f t="shared" si="197"/>
        <v>0</v>
      </c>
      <c r="AF420" s="520">
        <v>0</v>
      </c>
      <c r="AH420" s="512">
        <v>36012</v>
      </c>
      <c r="AJ420" s="513">
        <v>106.23302983559877</v>
      </c>
      <c r="AK420" s="514">
        <v>105.1948604625895</v>
      </c>
      <c r="AL420" s="513">
        <v>104.86113485125321</v>
      </c>
      <c r="AM420" s="512">
        <v>12</v>
      </c>
      <c r="AN420" s="512">
        <v>1000000</v>
      </c>
      <c r="AO420" s="512">
        <v>0.12</v>
      </c>
      <c r="AP420" s="523">
        <f>AE420*AH420*AL420%*AM420/AN420*AO420</f>
        <v>0</v>
      </c>
      <c r="AQ420" s="523">
        <f t="shared" si="209"/>
        <v>0</v>
      </c>
      <c r="AR420" s="523">
        <f t="shared" si="210"/>
        <v>0</v>
      </c>
      <c r="AS420" s="512">
        <v>0.18</v>
      </c>
      <c r="AT420" s="523">
        <f t="shared" si="208"/>
        <v>0</v>
      </c>
    </row>
    <row r="421" spans="1:46" ht="30" customHeight="1">
      <c r="A421" s="742">
        <v>3</v>
      </c>
      <c r="B421" s="742" t="s">
        <v>277</v>
      </c>
      <c r="C421" s="742" t="s">
        <v>864</v>
      </c>
      <c r="D421" s="568" t="s">
        <v>273</v>
      </c>
      <c r="E421" s="578">
        <v>2</v>
      </c>
      <c r="F421" s="578"/>
      <c r="G421" s="569">
        <v>0</v>
      </c>
      <c r="H421" s="586"/>
      <c r="I421" s="578">
        <v>2</v>
      </c>
      <c r="J421" s="578"/>
      <c r="K421" s="569">
        <v>0</v>
      </c>
      <c r="L421" s="569"/>
      <c r="M421" s="569">
        <f>SUM(M422:M424)</f>
        <v>0</v>
      </c>
      <c r="N421" s="586"/>
      <c r="O421" s="569">
        <f>SUM(O422:O424)</f>
        <v>0</v>
      </c>
      <c r="P421" s="569"/>
      <c r="Q421" s="569">
        <f>SUM(Q422:Q424)</f>
        <v>0</v>
      </c>
      <c r="R421" s="569"/>
      <c r="S421" s="762" t="s">
        <v>581</v>
      </c>
      <c r="T421" s="762"/>
      <c r="U421" s="493">
        <f>SUM(U422:U424)</f>
        <v>0</v>
      </c>
      <c r="V421" s="493"/>
      <c r="W421" s="577">
        <f>SUM(W422:W424)</f>
        <v>0.21664799999999995</v>
      </c>
      <c r="X421" s="577"/>
      <c r="Y421" s="577">
        <f>SUM(Y422:Y424)</f>
        <v>0.21664799999999995</v>
      </c>
      <c r="Z421" s="577"/>
      <c r="AA421" s="577">
        <f>SUM(AA422:AA424)</f>
        <v>0</v>
      </c>
      <c r="AB421" s="577"/>
      <c r="AC421" s="577">
        <f>SUM(AC422:AC424)</f>
        <v>0</v>
      </c>
      <c r="AD421" s="700"/>
      <c r="AF421" s="520"/>
      <c r="AH421" s="512">
        <v>36012</v>
      </c>
      <c r="AJ421" s="513">
        <v>106.23302983559877</v>
      </c>
      <c r="AK421" s="514">
        <v>105.1948604625895</v>
      </c>
      <c r="AL421" s="513">
        <v>104.86113485125321</v>
      </c>
      <c r="AM421" s="512">
        <v>12</v>
      </c>
      <c r="AN421" s="512">
        <v>1000000</v>
      </c>
      <c r="AO421" s="512">
        <v>0.12</v>
      </c>
      <c r="AP421" s="523">
        <f>AE421*AH421*AJ421%*AM421/AN421*AO421</f>
        <v>0</v>
      </c>
      <c r="AQ421" s="523">
        <f t="shared" si="209"/>
        <v>0</v>
      </c>
      <c r="AR421" s="523">
        <f t="shared" si="210"/>
        <v>0</v>
      </c>
      <c r="AS421" s="512">
        <v>0.18</v>
      </c>
      <c r="AT421" s="523">
        <f t="shared" si="208"/>
        <v>0.216</v>
      </c>
    </row>
    <row r="422" spans="1:46" ht="30" customHeight="1">
      <c r="A422" s="742"/>
      <c r="B422" s="742"/>
      <c r="C422" s="742"/>
      <c r="D422" s="491">
        <v>2013</v>
      </c>
      <c r="E422" s="578">
        <f>G422+I422+K422+M422+O422+Q422</f>
        <v>2.006</v>
      </c>
      <c r="F422" s="578">
        <v>1</v>
      </c>
      <c r="G422" s="569">
        <v>0</v>
      </c>
      <c r="H422" s="586"/>
      <c r="I422" s="577">
        <v>2</v>
      </c>
      <c r="J422" s="577">
        <v>1</v>
      </c>
      <c r="K422" s="574">
        <v>0.006</v>
      </c>
      <c r="L422" s="574"/>
      <c r="M422" s="569">
        <v>0</v>
      </c>
      <c r="N422" s="586"/>
      <c r="O422" s="569">
        <v>0</v>
      </c>
      <c r="P422" s="569"/>
      <c r="Q422" s="569">
        <v>0</v>
      </c>
      <c r="R422" s="569"/>
      <c r="S422" s="762"/>
      <c r="T422" s="762"/>
      <c r="U422" s="493">
        <f>AE422</f>
        <v>0</v>
      </c>
      <c r="V422" s="493"/>
      <c r="W422" s="577">
        <f>SUM(Y422:AC422)</f>
        <v>0.21664799999999995</v>
      </c>
      <c r="X422" s="577"/>
      <c r="Y422" s="577">
        <f>AT422</f>
        <v>0.21664799999999995</v>
      </c>
      <c r="Z422" s="577"/>
      <c r="AA422" s="577">
        <f>AR422</f>
        <v>0</v>
      </c>
      <c r="AB422" s="577"/>
      <c r="AC422" s="577">
        <f>AQ422</f>
        <v>0</v>
      </c>
      <c r="AD422" s="700"/>
      <c r="AE422" s="512">
        <f t="shared" si="197"/>
        <v>0</v>
      </c>
      <c r="AF422" s="520">
        <v>0</v>
      </c>
      <c r="AH422" s="512">
        <v>36012</v>
      </c>
      <c r="AJ422" s="513">
        <v>106.23302983559877</v>
      </c>
      <c r="AK422" s="514">
        <v>105.1948604625895</v>
      </c>
      <c r="AL422" s="513">
        <v>104.86113485125321</v>
      </c>
      <c r="AM422" s="512">
        <v>12</v>
      </c>
      <c r="AN422" s="512">
        <v>1000000</v>
      </c>
      <c r="AO422" s="512">
        <v>0.12</v>
      </c>
      <c r="AP422" s="523">
        <f>AE422*AH422*AJ422%*AM422/AN422*AO422</f>
        <v>0</v>
      </c>
      <c r="AQ422" s="523">
        <f t="shared" si="209"/>
        <v>0</v>
      </c>
      <c r="AR422" s="523">
        <f t="shared" si="210"/>
        <v>0</v>
      </c>
      <c r="AS422" s="512">
        <v>0.18</v>
      </c>
      <c r="AT422" s="523">
        <f t="shared" si="208"/>
        <v>0.21664799999999995</v>
      </c>
    </row>
    <row r="423" spans="1:46" ht="30" customHeight="1">
      <c r="A423" s="742"/>
      <c r="B423" s="742"/>
      <c r="C423" s="742"/>
      <c r="D423" s="491">
        <v>2014</v>
      </c>
      <c r="E423" s="578">
        <f t="shared" si="218"/>
        <v>0</v>
      </c>
      <c r="F423" s="578"/>
      <c r="G423" s="569">
        <v>0</v>
      </c>
      <c r="H423" s="586"/>
      <c r="I423" s="578">
        <v>0</v>
      </c>
      <c r="J423" s="578"/>
      <c r="K423" s="569">
        <v>0</v>
      </c>
      <c r="L423" s="569"/>
      <c r="M423" s="569">
        <v>0</v>
      </c>
      <c r="N423" s="586"/>
      <c r="O423" s="569">
        <v>0</v>
      </c>
      <c r="P423" s="569"/>
      <c r="Q423" s="569">
        <v>0</v>
      </c>
      <c r="R423" s="569"/>
      <c r="S423" s="762"/>
      <c r="T423" s="762"/>
      <c r="U423" s="493">
        <f>AE423</f>
        <v>0</v>
      </c>
      <c r="V423" s="493"/>
      <c r="W423" s="577">
        <f>SUM(Y423:AC423)</f>
        <v>0</v>
      </c>
      <c r="X423" s="577"/>
      <c r="Y423" s="577">
        <f>AT423</f>
        <v>0</v>
      </c>
      <c r="Z423" s="577"/>
      <c r="AA423" s="577">
        <f>AR423</f>
        <v>0</v>
      </c>
      <c r="AB423" s="577"/>
      <c r="AC423" s="577">
        <f>AQ423</f>
        <v>0</v>
      </c>
      <c r="AD423" s="700"/>
      <c r="AE423" s="512">
        <f t="shared" si="197"/>
        <v>0</v>
      </c>
      <c r="AF423" s="520">
        <v>0</v>
      </c>
      <c r="AH423" s="512">
        <v>36012</v>
      </c>
      <c r="AJ423" s="513">
        <v>106.23302983559877</v>
      </c>
      <c r="AK423" s="514">
        <v>105.1948604625895</v>
      </c>
      <c r="AL423" s="513">
        <v>104.86113485125321</v>
      </c>
      <c r="AM423" s="512">
        <v>12</v>
      </c>
      <c r="AN423" s="512">
        <v>1000000</v>
      </c>
      <c r="AO423" s="512">
        <v>0.12</v>
      </c>
      <c r="AP423" s="523">
        <f>AE423*AH423*AK423%*AM423/AN423*AO423</f>
        <v>0</v>
      </c>
      <c r="AQ423" s="523">
        <f t="shared" si="209"/>
        <v>0</v>
      </c>
      <c r="AR423" s="523">
        <f t="shared" si="210"/>
        <v>0</v>
      </c>
      <c r="AS423" s="512">
        <v>0.18</v>
      </c>
      <c r="AT423" s="523">
        <f t="shared" si="208"/>
        <v>0</v>
      </c>
    </row>
    <row r="424" spans="1:46" ht="30" customHeight="1">
      <c r="A424" s="742"/>
      <c r="B424" s="742"/>
      <c r="C424" s="742"/>
      <c r="D424" s="489">
        <v>2015</v>
      </c>
      <c r="E424" s="578">
        <v>0</v>
      </c>
      <c r="F424" s="578">
        <v>0</v>
      </c>
      <c r="G424" s="569">
        <v>0</v>
      </c>
      <c r="H424" s="586">
        <v>0</v>
      </c>
      <c r="I424" s="578">
        <v>0</v>
      </c>
      <c r="J424" s="578">
        <v>0</v>
      </c>
      <c r="K424" s="569">
        <v>0</v>
      </c>
      <c r="L424" s="569">
        <v>0</v>
      </c>
      <c r="M424" s="569">
        <v>0</v>
      </c>
      <c r="N424" s="586"/>
      <c r="O424" s="569">
        <v>0</v>
      </c>
      <c r="P424" s="569"/>
      <c r="Q424" s="569">
        <v>0</v>
      </c>
      <c r="R424" s="569"/>
      <c r="S424" s="762"/>
      <c r="T424" s="762"/>
      <c r="U424" s="493">
        <f>AE424</f>
        <v>0</v>
      </c>
      <c r="V424" s="493"/>
      <c r="W424" s="577">
        <f>SUM(Y424:AC424)</f>
        <v>0</v>
      </c>
      <c r="X424" s="577"/>
      <c r="Y424" s="577">
        <f>AT424</f>
        <v>0</v>
      </c>
      <c r="Z424" s="577"/>
      <c r="AA424" s="577">
        <f>AR424</f>
        <v>0</v>
      </c>
      <c r="AB424" s="577"/>
      <c r="AC424" s="577">
        <f>AQ424</f>
        <v>0</v>
      </c>
      <c r="AD424" s="700"/>
      <c r="AE424" s="512">
        <f t="shared" si="197"/>
        <v>0</v>
      </c>
      <c r="AF424" s="520">
        <v>0</v>
      </c>
      <c r="AH424" s="512">
        <v>36012</v>
      </c>
      <c r="AJ424" s="513">
        <v>106.23302983559877</v>
      </c>
      <c r="AK424" s="514">
        <v>105.1948604625895</v>
      </c>
      <c r="AL424" s="513">
        <v>104.86113485125321</v>
      </c>
      <c r="AM424" s="512">
        <v>12</v>
      </c>
      <c r="AN424" s="512">
        <v>1000000</v>
      </c>
      <c r="AO424" s="512">
        <v>0.12</v>
      </c>
      <c r="AP424" s="523">
        <f>AE424*AH424*AL424%*AM424/AN424*AO424</f>
        <v>0</v>
      </c>
      <c r="AQ424" s="523">
        <f t="shared" si="209"/>
        <v>0</v>
      </c>
      <c r="AR424" s="523">
        <f t="shared" si="210"/>
        <v>0</v>
      </c>
      <c r="AS424" s="512">
        <v>0.18</v>
      </c>
      <c r="AT424" s="523">
        <f t="shared" si="208"/>
        <v>0</v>
      </c>
    </row>
    <row r="425" spans="1:46" ht="44.25" customHeight="1">
      <c r="A425" s="773" t="s">
        <v>99</v>
      </c>
      <c r="B425" s="742" t="s">
        <v>493</v>
      </c>
      <c r="C425" s="742" t="s">
        <v>494</v>
      </c>
      <c r="D425" s="489" t="s">
        <v>229</v>
      </c>
      <c r="E425" s="578">
        <f t="shared" si="218"/>
        <v>0.4437</v>
      </c>
      <c r="F425" s="578"/>
      <c r="G425" s="575">
        <f aca="true" t="shared" si="221" ref="G425:Q425">SUM(G426:G428)</f>
        <v>0.4437</v>
      </c>
      <c r="H425" s="586"/>
      <c r="I425" s="578">
        <f t="shared" si="221"/>
        <v>0</v>
      </c>
      <c r="J425" s="578"/>
      <c r="K425" s="569">
        <f t="shared" si="221"/>
        <v>0</v>
      </c>
      <c r="L425" s="569"/>
      <c r="M425" s="569">
        <f t="shared" si="221"/>
        <v>0</v>
      </c>
      <c r="N425" s="586"/>
      <c r="O425" s="569">
        <f t="shared" si="221"/>
        <v>0</v>
      </c>
      <c r="P425" s="569"/>
      <c r="Q425" s="569">
        <f t="shared" si="221"/>
        <v>0</v>
      </c>
      <c r="R425" s="569"/>
      <c r="S425" s="763" t="s">
        <v>584</v>
      </c>
      <c r="T425" s="800" t="s">
        <v>865</v>
      </c>
      <c r="U425" s="493">
        <f>SUM(U426:U428)</f>
        <v>0</v>
      </c>
      <c r="V425" s="493"/>
      <c r="W425" s="577">
        <f>SUM(W426:W428)</f>
        <v>0.04791959999999999</v>
      </c>
      <c r="X425" s="577"/>
      <c r="Y425" s="577">
        <f>SUM(Y426:Y428)</f>
        <v>0.04791959999999999</v>
      </c>
      <c r="Z425" s="577"/>
      <c r="AA425" s="577">
        <f>SUM(AA426:AA428)</f>
        <v>0</v>
      </c>
      <c r="AB425" s="577"/>
      <c r="AC425" s="577">
        <f>SUM(AC426:AC428)</f>
        <v>0</v>
      </c>
      <c r="AD425" s="700"/>
      <c r="AF425" s="520"/>
      <c r="AH425" s="512">
        <v>36012</v>
      </c>
      <c r="AJ425" s="513">
        <v>106.23302983559877</v>
      </c>
      <c r="AK425" s="514">
        <v>105.1948604625895</v>
      </c>
      <c r="AL425" s="513">
        <v>104.86113485125321</v>
      </c>
      <c r="AM425" s="512">
        <v>12</v>
      </c>
      <c r="AN425" s="512">
        <v>1000000</v>
      </c>
      <c r="AO425" s="512">
        <v>0.12</v>
      </c>
      <c r="AP425" s="523">
        <f>AE425*AH425*AJ425%*AM425/AN425*AO425</f>
        <v>0</v>
      </c>
      <c r="AQ425" s="523">
        <f t="shared" si="209"/>
        <v>0</v>
      </c>
      <c r="AR425" s="523">
        <f t="shared" si="210"/>
        <v>0</v>
      </c>
      <c r="AS425" s="512">
        <v>0.18</v>
      </c>
      <c r="AT425" s="523">
        <f t="shared" si="208"/>
        <v>0.04791959999999999</v>
      </c>
    </row>
    <row r="426" spans="1:46" ht="44.25" customHeight="1">
      <c r="A426" s="773"/>
      <c r="B426" s="742"/>
      <c r="C426" s="742"/>
      <c r="D426" s="489">
        <v>2013</v>
      </c>
      <c r="E426" s="578">
        <f t="shared" si="218"/>
        <v>0.4437</v>
      </c>
      <c r="F426" s="578"/>
      <c r="G426" s="575">
        <v>0.4437</v>
      </c>
      <c r="H426" s="586"/>
      <c r="I426" s="578">
        <v>0</v>
      </c>
      <c r="J426" s="578"/>
      <c r="K426" s="569">
        <v>0</v>
      </c>
      <c r="L426" s="569"/>
      <c r="M426" s="569">
        <v>0</v>
      </c>
      <c r="N426" s="586"/>
      <c r="O426" s="569">
        <v>0</v>
      </c>
      <c r="P426" s="569"/>
      <c r="Q426" s="569">
        <v>0</v>
      </c>
      <c r="R426" s="569"/>
      <c r="S426" s="763"/>
      <c r="T426" s="800"/>
      <c r="U426" s="493">
        <f>AE426</f>
        <v>0</v>
      </c>
      <c r="V426" s="493"/>
      <c r="W426" s="577">
        <f>SUM(Y426:AC426)</f>
        <v>0.04791959999999999</v>
      </c>
      <c r="X426" s="577"/>
      <c r="Y426" s="577">
        <f>AT426</f>
        <v>0.04791959999999999</v>
      </c>
      <c r="Z426" s="577"/>
      <c r="AA426" s="577">
        <f>AR426</f>
        <v>0</v>
      </c>
      <c r="AB426" s="577"/>
      <c r="AC426" s="577">
        <f>AQ426</f>
        <v>0</v>
      </c>
      <c r="AD426" s="700"/>
      <c r="AE426" s="512">
        <f t="shared" si="197"/>
        <v>0</v>
      </c>
      <c r="AF426" s="520">
        <v>0</v>
      </c>
      <c r="AH426" s="512">
        <v>36012</v>
      </c>
      <c r="AJ426" s="513">
        <v>106.23302983559877</v>
      </c>
      <c r="AK426" s="514">
        <v>105.1948604625895</v>
      </c>
      <c r="AL426" s="513">
        <v>104.86113485125321</v>
      </c>
      <c r="AM426" s="512">
        <v>12</v>
      </c>
      <c r="AN426" s="512">
        <v>1000000</v>
      </c>
      <c r="AO426" s="512">
        <v>0.12</v>
      </c>
      <c r="AP426" s="523">
        <f>AE426*AH426*AJ426%*AM426/AN426*AO426</f>
        <v>0</v>
      </c>
      <c r="AQ426" s="523">
        <f t="shared" si="209"/>
        <v>0</v>
      </c>
      <c r="AR426" s="523">
        <f t="shared" si="210"/>
        <v>0</v>
      </c>
      <c r="AS426" s="512">
        <v>0.18</v>
      </c>
      <c r="AT426" s="523">
        <f t="shared" si="208"/>
        <v>0.04791959999999999</v>
      </c>
    </row>
    <row r="427" spans="1:46" ht="44.25" customHeight="1">
      <c r="A427" s="773"/>
      <c r="B427" s="742"/>
      <c r="C427" s="742"/>
      <c r="D427" s="489">
        <v>2014</v>
      </c>
      <c r="E427" s="578">
        <f t="shared" si="218"/>
        <v>0</v>
      </c>
      <c r="F427" s="578"/>
      <c r="G427" s="569">
        <v>0</v>
      </c>
      <c r="H427" s="586"/>
      <c r="I427" s="578">
        <v>0</v>
      </c>
      <c r="J427" s="578"/>
      <c r="K427" s="569">
        <v>0</v>
      </c>
      <c r="L427" s="569"/>
      <c r="M427" s="569">
        <v>0</v>
      </c>
      <c r="N427" s="586"/>
      <c r="O427" s="569">
        <v>0</v>
      </c>
      <c r="P427" s="569"/>
      <c r="Q427" s="569">
        <v>0</v>
      </c>
      <c r="R427" s="569"/>
      <c r="S427" s="763"/>
      <c r="T427" s="800"/>
      <c r="U427" s="493">
        <f>AE427</f>
        <v>0</v>
      </c>
      <c r="V427" s="493"/>
      <c r="W427" s="577">
        <f>SUM(Y427:AC427)</f>
        <v>0</v>
      </c>
      <c r="X427" s="577"/>
      <c r="Y427" s="577">
        <f>AT427</f>
        <v>0</v>
      </c>
      <c r="Z427" s="577"/>
      <c r="AA427" s="577">
        <f>AR427</f>
        <v>0</v>
      </c>
      <c r="AB427" s="577"/>
      <c r="AC427" s="577">
        <f>AQ427</f>
        <v>0</v>
      </c>
      <c r="AD427" s="700"/>
      <c r="AE427" s="512">
        <f t="shared" si="197"/>
        <v>0</v>
      </c>
      <c r="AF427" s="520">
        <v>0</v>
      </c>
      <c r="AH427" s="512">
        <v>36012</v>
      </c>
      <c r="AJ427" s="513">
        <v>106.23302983559877</v>
      </c>
      <c r="AK427" s="514">
        <v>105.1948604625895</v>
      </c>
      <c r="AL427" s="513">
        <v>104.86113485125321</v>
      </c>
      <c r="AM427" s="512">
        <v>12</v>
      </c>
      <c r="AN427" s="512">
        <v>1000000</v>
      </c>
      <c r="AO427" s="512">
        <v>0.12</v>
      </c>
      <c r="AP427" s="523">
        <f>AE427*AH427*AK427%*AM427/AN427*AO427</f>
        <v>0</v>
      </c>
      <c r="AQ427" s="523">
        <f t="shared" si="209"/>
        <v>0</v>
      </c>
      <c r="AR427" s="523">
        <f t="shared" si="210"/>
        <v>0</v>
      </c>
      <c r="AS427" s="512">
        <v>0.18</v>
      </c>
      <c r="AT427" s="523">
        <f t="shared" si="208"/>
        <v>0</v>
      </c>
    </row>
    <row r="428" spans="1:46" ht="44.25" customHeight="1">
      <c r="A428" s="774"/>
      <c r="B428" s="742"/>
      <c r="C428" s="742"/>
      <c r="D428" s="489">
        <v>2015</v>
      </c>
      <c r="E428" s="578">
        <f t="shared" si="218"/>
        <v>0</v>
      </c>
      <c r="F428" s="578">
        <v>0</v>
      </c>
      <c r="G428" s="569">
        <v>0</v>
      </c>
      <c r="H428" s="586"/>
      <c r="I428" s="578">
        <v>0</v>
      </c>
      <c r="J428" s="578"/>
      <c r="K428" s="569">
        <v>0</v>
      </c>
      <c r="L428" s="569"/>
      <c r="M428" s="569">
        <v>0</v>
      </c>
      <c r="N428" s="586"/>
      <c r="O428" s="569">
        <v>0</v>
      </c>
      <c r="P428" s="569"/>
      <c r="Q428" s="569">
        <v>0</v>
      </c>
      <c r="R428" s="569"/>
      <c r="S428" s="763"/>
      <c r="T428" s="774"/>
      <c r="U428" s="493">
        <f>AE428</f>
        <v>0</v>
      </c>
      <c r="V428" s="493"/>
      <c r="W428" s="577">
        <f>SUM(Y428:AC428)</f>
        <v>0</v>
      </c>
      <c r="X428" s="577"/>
      <c r="Y428" s="577">
        <f>AT428</f>
        <v>0</v>
      </c>
      <c r="Z428" s="577"/>
      <c r="AA428" s="577">
        <f>AR428</f>
        <v>0</v>
      </c>
      <c r="AB428" s="577"/>
      <c r="AC428" s="577">
        <f>AQ428</f>
        <v>0</v>
      </c>
      <c r="AD428" s="700"/>
      <c r="AE428" s="512">
        <f t="shared" si="197"/>
        <v>0</v>
      </c>
      <c r="AF428" s="520">
        <v>0</v>
      </c>
      <c r="AH428" s="512">
        <v>36012</v>
      </c>
      <c r="AJ428" s="513">
        <v>106.23302983559877</v>
      </c>
      <c r="AK428" s="514">
        <v>105.1948604625895</v>
      </c>
      <c r="AL428" s="513">
        <v>104.86113485125321</v>
      </c>
      <c r="AM428" s="512">
        <v>12</v>
      </c>
      <c r="AN428" s="512">
        <v>1000000</v>
      </c>
      <c r="AO428" s="512">
        <v>0.12</v>
      </c>
      <c r="AP428" s="523">
        <f>AE428*AH428*AL428%*AM428/AN428*AO428</f>
        <v>0</v>
      </c>
      <c r="AQ428" s="523">
        <f t="shared" si="209"/>
        <v>0</v>
      </c>
      <c r="AR428" s="523">
        <f t="shared" si="210"/>
        <v>0</v>
      </c>
      <c r="AS428" s="512">
        <v>0.18</v>
      </c>
      <c r="AT428" s="523">
        <f t="shared" si="208"/>
        <v>0</v>
      </c>
    </row>
    <row r="429" spans="1:46" ht="28.5" customHeight="1">
      <c r="A429" s="763">
        <v>5</v>
      </c>
      <c r="B429" s="742" t="s">
        <v>866</v>
      </c>
      <c r="C429" s="742" t="s">
        <v>867</v>
      </c>
      <c r="D429" s="568" t="s">
        <v>273</v>
      </c>
      <c r="E429" s="578">
        <f t="shared" si="218"/>
        <v>155</v>
      </c>
      <c r="F429" s="578"/>
      <c r="G429" s="569">
        <f aca="true" t="shared" si="222" ref="G429:Q429">SUM(G430:G432)</f>
        <v>0</v>
      </c>
      <c r="H429" s="586"/>
      <c r="I429" s="578">
        <f t="shared" si="222"/>
        <v>155</v>
      </c>
      <c r="J429" s="578"/>
      <c r="K429" s="569">
        <f t="shared" si="222"/>
        <v>0</v>
      </c>
      <c r="L429" s="569"/>
      <c r="M429" s="569">
        <f t="shared" si="222"/>
        <v>0</v>
      </c>
      <c r="N429" s="586"/>
      <c r="O429" s="569">
        <f t="shared" si="222"/>
        <v>0</v>
      </c>
      <c r="P429" s="569"/>
      <c r="Q429" s="569">
        <f t="shared" si="222"/>
        <v>0</v>
      </c>
      <c r="R429" s="569"/>
      <c r="S429" s="762" t="s">
        <v>581</v>
      </c>
      <c r="T429" s="762" t="s">
        <v>618</v>
      </c>
      <c r="U429" s="493">
        <f>SUM(U430:U432)</f>
        <v>70</v>
      </c>
      <c r="V429" s="493"/>
      <c r="W429" s="577">
        <f>SUM(W430:W432)</f>
        <v>20.558583533498602</v>
      </c>
      <c r="X429" s="577"/>
      <c r="Y429" s="577">
        <f>SUM(Y430:Y432)</f>
        <v>16.74</v>
      </c>
      <c r="Z429" s="577"/>
      <c r="AA429" s="577">
        <f>SUM(AA430:AA432)</f>
        <v>2.070054133509593</v>
      </c>
      <c r="AB429" s="577"/>
      <c r="AC429" s="577">
        <f>SUM(AC430:AC432)</f>
        <v>1.7485293999890104</v>
      </c>
      <c r="AD429" s="700"/>
      <c r="AF429" s="520"/>
      <c r="AG429" s="520"/>
      <c r="AH429" s="512">
        <v>36012</v>
      </c>
      <c r="AJ429" s="513">
        <v>106.23302983559877</v>
      </c>
      <c r="AK429" s="514">
        <v>105.1948604625895</v>
      </c>
      <c r="AL429" s="513">
        <v>104.86113485125321</v>
      </c>
      <c r="AM429" s="512">
        <v>12</v>
      </c>
      <c r="AN429" s="512">
        <v>1000000</v>
      </c>
      <c r="AO429" s="512">
        <v>0.12</v>
      </c>
      <c r="AP429" s="523">
        <f>AE429*AH429*AJ429%*AM429/AN429*AO429</f>
        <v>0</v>
      </c>
      <c r="AQ429" s="523">
        <f t="shared" si="209"/>
        <v>0</v>
      </c>
      <c r="AR429" s="523">
        <f t="shared" si="210"/>
        <v>0</v>
      </c>
      <c r="AS429" s="512">
        <v>0.18</v>
      </c>
      <c r="AT429" s="523">
        <f t="shared" si="208"/>
        <v>16.74</v>
      </c>
    </row>
    <row r="430" spans="1:46" ht="28.5" customHeight="1">
      <c r="A430" s="763"/>
      <c r="B430" s="742"/>
      <c r="C430" s="742"/>
      <c r="D430" s="489">
        <v>2013</v>
      </c>
      <c r="E430" s="578">
        <v>0</v>
      </c>
      <c r="F430" s="578"/>
      <c r="G430" s="569">
        <v>0</v>
      </c>
      <c r="H430" s="586"/>
      <c r="I430" s="578">
        <v>0</v>
      </c>
      <c r="J430" s="578"/>
      <c r="K430" s="569">
        <v>0</v>
      </c>
      <c r="L430" s="569"/>
      <c r="M430" s="569">
        <v>0</v>
      </c>
      <c r="N430" s="586"/>
      <c r="O430" s="569">
        <v>0</v>
      </c>
      <c r="P430" s="569"/>
      <c r="Q430" s="569">
        <v>0</v>
      </c>
      <c r="R430" s="569"/>
      <c r="S430" s="762"/>
      <c r="T430" s="762"/>
      <c r="U430" s="493">
        <f>AE430</f>
        <v>0</v>
      </c>
      <c r="V430" s="493"/>
      <c r="W430" s="577">
        <f>SUM(Y430:AC430)</f>
        <v>0</v>
      </c>
      <c r="X430" s="577"/>
      <c r="Y430" s="577">
        <f>AT430</f>
        <v>0</v>
      </c>
      <c r="Z430" s="577"/>
      <c r="AA430" s="577">
        <f>AR430</f>
        <v>0</v>
      </c>
      <c r="AB430" s="577"/>
      <c r="AC430" s="577">
        <f>AQ430</f>
        <v>0</v>
      </c>
      <c r="AD430" s="700"/>
      <c r="AE430" s="512">
        <f t="shared" si="197"/>
        <v>0</v>
      </c>
      <c r="AF430" s="520">
        <v>0</v>
      </c>
      <c r="AH430" s="512">
        <v>36012</v>
      </c>
      <c r="AJ430" s="513">
        <v>106.23302983559877</v>
      </c>
      <c r="AK430" s="514">
        <v>105.1948604625895</v>
      </c>
      <c r="AL430" s="513">
        <v>104.86113485125321</v>
      </c>
      <c r="AM430" s="512">
        <v>12</v>
      </c>
      <c r="AN430" s="512">
        <v>1000000</v>
      </c>
      <c r="AO430" s="512">
        <v>0.12</v>
      </c>
      <c r="AP430" s="523">
        <f>AE430*AH430*AJ430%*AM430/AN430*AO430</f>
        <v>0</v>
      </c>
      <c r="AQ430" s="523">
        <f t="shared" si="209"/>
        <v>0</v>
      </c>
      <c r="AR430" s="523">
        <f t="shared" si="210"/>
        <v>0</v>
      </c>
      <c r="AS430" s="512">
        <v>0.18</v>
      </c>
      <c r="AT430" s="523">
        <f t="shared" si="208"/>
        <v>0</v>
      </c>
    </row>
    <row r="431" spans="1:46" ht="28.5" customHeight="1">
      <c r="A431" s="763"/>
      <c r="B431" s="742"/>
      <c r="C431" s="742"/>
      <c r="D431" s="489" t="s">
        <v>24</v>
      </c>
      <c r="E431" s="578">
        <v>155</v>
      </c>
      <c r="F431" s="578">
        <v>0.0205</v>
      </c>
      <c r="G431" s="569">
        <v>0</v>
      </c>
      <c r="H431" s="586"/>
      <c r="I431" s="578">
        <v>155</v>
      </c>
      <c r="J431" s="578"/>
      <c r="K431" s="569">
        <v>0</v>
      </c>
      <c r="L431" s="584">
        <v>0.0205</v>
      </c>
      <c r="M431" s="569">
        <v>0</v>
      </c>
      <c r="N431" s="586"/>
      <c r="O431" s="569">
        <v>0</v>
      </c>
      <c r="P431" s="569"/>
      <c r="Q431" s="569">
        <v>0</v>
      </c>
      <c r="R431" s="569"/>
      <c r="S431" s="762"/>
      <c r="T431" s="762"/>
      <c r="U431" s="493">
        <f>AE431</f>
        <v>70</v>
      </c>
      <c r="V431" s="493"/>
      <c r="W431" s="577">
        <f>SUM(Y431:AC431)</f>
        <v>20.558583533498602</v>
      </c>
      <c r="X431" s="577"/>
      <c r="Y431" s="577">
        <f>AT431</f>
        <v>16.74</v>
      </c>
      <c r="Z431" s="577"/>
      <c r="AA431" s="577">
        <f>AR431</f>
        <v>2.070054133509593</v>
      </c>
      <c r="AB431" s="577"/>
      <c r="AC431" s="577">
        <f>AQ431</f>
        <v>1.7485293999890104</v>
      </c>
      <c r="AD431" s="700"/>
      <c r="AE431" s="512">
        <f t="shared" si="197"/>
        <v>70</v>
      </c>
      <c r="AF431" s="520">
        <v>0</v>
      </c>
      <c r="AG431" s="512">
        <v>70</v>
      </c>
      <c r="AH431" s="512">
        <v>36012</v>
      </c>
      <c r="AJ431" s="513">
        <v>106.23302983559877</v>
      </c>
      <c r="AK431" s="514">
        <v>105.1948604625895</v>
      </c>
      <c r="AL431" s="513">
        <v>104.86113485125321</v>
      </c>
      <c r="AM431" s="512">
        <v>12</v>
      </c>
      <c r="AN431" s="512">
        <v>1000000</v>
      </c>
      <c r="AO431" s="512">
        <v>0.12</v>
      </c>
      <c r="AP431" s="523">
        <f>AE431*AH431*AK431%*AM431/AN431*AO431</f>
        <v>3.8185835334986034</v>
      </c>
      <c r="AQ431" s="523">
        <f t="shared" si="209"/>
        <v>1.7485293999890104</v>
      </c>
      <c r="AR431" s="523">
        <f t="shared" si="210"/>
        <v>2.070054133509593</v>
      </c>
      <c r="AS431" s="512">
        <v>0.18</v>
      </c>
      <c r="AT431" s="523">
        <f t="shared" si="208"/>
        <v>16.74</v>
      </c>
    </row>
    <row r="432" spans="1:46" ht="28.5" customHeight="1">
      <c r="A432" s="763"/>
      <c r="B432" s="742"/>
      <c r="C432" s="742"/>
      <c r="D432" s="489">
        <v>2015</v>
      </c>
      <c r="E432" s="578">
        <f>SUM(G432:Q432)</f>
        <v>0</v>
      </c>
      <c r="F432" s="578">
        <v>0</v>
      </c>
      <c r="G432" s="569">
        <v>0</v>
      </c>
      <c r="H432" s="586"/>
      <c r="I432" s="578">
        <v>0</v>
      </c>
      <c r="J432" s="578"/>
      <c r="K432" s="569">
        <v>0</v>
      </c>
      <c r="L432" s="569"/>
      <c r="M432" s="569">
        <v>0</v>
      </c>
      <c r="N432" s="586"/>
      <c r="O432" s="569">
        <v>0</v>
      </c>
      <c r="P432" s="569"/>
      <c r="Q432" s="569">
        <v>0</v>
      </c>
      <c r="R432" s="569"/>
      <c r="S432" s="762"/>
      <c r="T432" s="762"/>
      <c r="U432" s="493">
        <f>AE432</f>
        <v>0</v>
      </c>
      <c r="V432" s="493"/>
      <c r="W432" s="577">
        <f>SUM(Y432:AC432)</f>
        <v>0</v>
      </c>
      <c r="X432" s="577"/>
      <c r="Y432" s="577">
        <f>AT432</f>
        <v>0</v>
      </c>
      <c r="Z432" s="577"/>
      <c r="AA432" s="577">
        <f>AR432</f>
        <v>0</v>
      </c>
      <c r="AB432" s="577"/>
      <c r="AC432" s="577">
        <f>AQ432</f>
        <v>0</v>
      </c>
      <c r="AD432" s="700"/>
      <c r="AE432" s="512">
        <f t="shared" si="197"/>
        <v>0</v>
      </c>
      <c r="AF432" s="520">
        <v>0</v>
      </c>
      <c r="AH432" s="512">
        <v>36012</v>
      </c>
      <c r="AJ432" s="513">
        <v>106.23302983559877</v>
      </c>
      <c r="AK432" s="514">
        <v>105.1948604625895</v>
      </c>
      <c r="AL432" s="513">
        <v>104.86113485125321</v>
      </c>
      <c r="AM432" s="512">
        <v>12</v>
      </c>
      <c r="AN432" s="512">
        <v>1000000</v>
      </c>
      <c r="AO432" s="512">
        <v>0.12</v>
      </c>
      <c r="AP432" s="523">
        <f>AE432*AH432*AL432%*AM432/AN432*AO432</f>
        <v>0</v>
      </c>
      <c r="AQ432" s="523">
        <f t="shared" si="209"/>
        <v>0</v>
      </c>
      <c r="AR432" s="523">
        <f t="shared" si="210"/>
        <v>0</v>
      </c>
      <c r="AS432" s="512">
        <v>0.18</v>
      </c>
      <c r="AT432" s="523">
        <f t="shared" si="208"/>
        <v>0</v>
      </c>
    </row>
    <row r="433" spans="1:46" s="553" customFormat="1" ht="18" customHeight="1">
      <c r="A433" s="777" t="s">
        <v>628</v>
      </c>
      <c r="B433" s="777"/>
      <c r="C433" s="777"/>
      <c r="D433" s="777"/>
      <c r="E433" s="777"/>
      <c r="F433" s="777"/>
      <c r="G433" s="777"/>
      <c r="H433" s="777"/>
      <c r="I433" s="777"/>
      <c r="J433" s="777"/>
      <c r="K433" s="777"/>
      <c r="L433" s="777"/>
      <c r="M433" s="777"/>
      <c r="N433" s="777"/>
      <c r="O433" s="777"/>
      <c r="P433" s="777"/>
      <c r="Q433" s="777"/>
      <c r="R433" s="777"/>
      <c r="S433" s="777"/>
      <c r="T433" s="777"/>
      <c r="U433" s="777"/>
      <c r="V433" s="777"/>
      <c r="W433" s="777"/>
      <c r="X433" s="777"/>
      <c r="Y433" s="777"/>
      <c r="Z433" s="777"/>
      <c r="AA433" s="777"/>
      <c r="AB433" s="777"/>
      <c r="AC433" s="777"/>
      <c r="AD433" s="696"/>
      <c r="AE433" s="554"/>
      <c r="AF433" s="554"/>
      <c r="AG433" s="554"/>
      <c r="AH433" s="554"/>
      <c r="AI433" s="554"/>
      <c r="AJ433" s="555">
        <v>106.23302983559877</v>
      </c>
      <c r="AK433" s="556">
        <v>105.1948604625895</v>
      </c>
      <c r="AL433" s="555">
        <v>104.86113485125321</v>
      </c>
      <c r="AM433" s="554">
        <v>12</v>
      </c>
      <c r="AN433" s="554">
        <v>1000000</v>
      </c>
      <c r="AO433" s="554">
        <v>0.12</v>
      </c>
      <c r="AP433" s="563">
        <f>AE433*AH433*AJ433%*AM433/AN433*AO433</f>
        <v>0</v>
      </c>
      <c r="AQ433" s="563">
        <f t="shared" si="209"/>
        <v>0</v>
      </c>
      <c r="AR433" s="563">
        <f t="shared" si="210"/>
        <v>0</v>
      </c>
      <c r="AS433" s="554">
        <v>0.18</v>
      </c>
      <c r="AT433" s="563">
        <f t="shared" si="208"/>
        <v>0</v>
      </c>
    </row>
    <row r="434" spans="1:46" s="553" customFormat="1" ht="18" customHeight="1">
      <c r="A434" s="771"/>
      <c r="B434" s="771" t="s">
        <v>345</v>
      </c>
      <c r="C434" s="771"/>
      <c r="D434" s="558" t="s">
        <v>273</v>
      </c>
      <c r="E434" s="594">
        <f>G434+I434+K434+M434+O434+Q434</f>
        <v>4.5760000000000005</v>
      </c>
      <c r="F434" s="594">
        <f>SUM(F435:F437)</f>
        <v>6.919</v>
      </c>
      <c r="G434" s="620">
        <f aca="true" t="shared" si="223" ref="G434:Q434">SUM(G435:G437)</f>
        <v>0</v>
      </c>
      <c r="H434" s="685">
        <f>SUM(H435:H437)</f>
        <v>0</v>
      </c>
      <c r="I434" s="594">
        <f>I435+I436+I437</f>
        <v>4.5760000000000005</v>
      </c>
      <c r="J434" s="594">
        <f>SUM(J435:J437)</f>
        <v>6.919</v>
      </c>
      <c r="K434" s="620">
        <f t="shared" si="223"/>
        <v>0</v>
      </c>
      <c r="L434" s="595">
        <f>SUM(L435:L437)</f>
        <v>0</v>
      </c>
      <c r="M434" s="620">
        <f t="shared" si="223"/>
        <v>0</v>
      </c>
      <c r="N434" s="685">
        <f>SUM(N435:N437)</f>
        <v>0</v>
      </c>
      <c r="O434" s="620">
        <f t="shared" si="223"/>
        <v>0</v>
      </c>
      <c r="P434" s="595">
        <f>SUM(P435:P437)</f>
        <v>0</v>
      </c>
      <c r="Q434" s="620">
        <f t="shared" si="223"/>
        <v>0</v>
      </c>
      <c r="R434" s="595">
        <f>SUM(R435:R437)</f>
        <v>0</v>
      </c>
      <c r="S434" s="795"/>
      <c r="T434" s="795"/>
      <c r="U434" s="559">
        <f>SUM(U435:U437)</f>
        <v>2478</v>
      </c>
      <c r="V434" s="559"/>
      <c r="W434" s="594">
        <f>SUM(W435:W437)</f>
        <v>19.473846746214246</v>
      </c>
      <c r="X434" s="594">
        <f aca="true" t="shared" si="224" ref="X434:AD434">SUM(X435:X437)</f>
        <v>4.0201</v>
      </c>
      <c r="Y434" s="594">
        <f t="shared" si="224"/>
        <v>0.6659759999999999</v>
      </c>
      <c r="Z434" s="594">
        <f t="shared" si="224"/>
        <v>0</v>
      </c>
      <c r="AA434" s="594">
        <f t="shared" si="224"/>
        <v>10.195746731522743</v>
      </c>
      <c r="AB434" s="594">
        <f t="shared" si="224"/>
        <v>2.1817999999999995</v>
      </c>
      <c r="AC434" s="594">
        <f t="shared" si="224"/>
        <v>8.612124014691503</v>
      </c>
      <c r="AD434" s="685">
        <f t="shared" si="224"/>
        <v>1.8383</v>
      </c>
      <c r="AE434" s="554"/>
      <c r="AF434" s="677">
        <f>SUM(AF435:AF437)</f>
        <v>724</v>
      </c>
      <c r="AG434" s="677">
        <f>SUM(AG435:AG437)</f>
        <v>0</v>
      </c>
      <c r="AH434" s="554"/>
      <c r="AI434" s="554"/>
      <c r="AJ434" s="555">
        <v>106.23302983559877</v>
      </c>
      <c r="AK434" s="556">
        <v>105.1948604625895</v>
      </c>
      <c r="AL434" s="555">
        <v>104.86113485125321</v>
      </c>
      <c r="AM434" s="554">
        <v>12</v>
      </c>
      <c r="AN434" s="554">
        <v>1000000</v>
      </c>
      <c r="AO434" s="554">
        <v>0.12</v>
      </c>
      <c r="AP434" s="563">
        <f>AE434*AH434*AJ434%*AM434/AN434*AO434</f>
        <v>0</v>
      </c>
      <c r="AQ434" s="563">
        <f t="shared" si="209"/>
        <v>0</v>
      </c>
      <c r="AR434" s="563">
        <f t="shared" si="210"/>
        <v>0</v>
      </c>
      <c r="AS434" s="554">
        <v>0.18</v>
      </c>
      <c r="AT434" s="563">
        <f t="shared" si="208"/>
        <v>0.494208</v>
      </c>
    </row>
    <row r="435" spans="1:59" s="553" customFormat="1" ht="128.25" customHeight="1">
      <c r="A435" s="771"/>
      <c r="B435" s="771"/>
      <c r="C435" s="771"/>
      <c r="D435" s="558">
        <v>2013</v>
      </c>
      <c r="E435" s="594">
        <f>G435+K435+M435+O435+Q435+I435</f>
        <v>2.777</v>
      </c>
      <c r="F435" s="594">
        <f>F439+F443+F447+F451+F455+F459+F463+F467+F471</f>
        <v>2.703</v>
      </c>
      <c r="G435" s="594">
        <f>G439+G443+G447+G451+G455+G459+G463+G467+G471</f>
        <v>0</v>
      </c>
      <c r="H435" s="685"/>
      <c r="I435" s="594">
        <f aca="true" t="shared" si="225" ref="G435:Q437">I439+I443+I447+I451+I455+I459+I463+I467+I471</f>
        <v>2.777</v>
      </c>
      <c r="J435" s="594">
        <f>J439+J443+J447+J451+J455+J459+J463+J467+J471</f>
        <v>2.703</v>
      </c>
      <c r="K435" s="620">
        <f t="shared" si="225"/>
        <v>0</v>
      </c>
      <c r="L435" s="620"/>
      <c r="M435" s="620">
        <f t="shared" si="225"/>
        <v>0</v>
      </c>
      <c r="N435" s="685"/>
      <c r="O435" s="620">
        <f t="shared" si="225"/>
        <v>0</v>
      </c>
      <c r="P435" s="620"/>
      <c r="Q435" s="620">
        <f t="shared" si="225"/>
        <v>0</v>
      </c>
      <c r="R435" s="620"/>
      <c r="S435" s="795"/>
      <c r="T435" s="798"/>
      <c r="U435" s="559">
        <f>U439+U443+U447+U451+U455+U459+U463+U467+U471</f>
        <v>362</v>
      </c>
      <c r="V435" s="680" t="s">
        <v>807</v>
      </c>
      <c r="W435" s="594">
        <f>Y435+AA435+AC435</f>
        <v>9.750027294724413</v>
      </c>
      <c r="X435" s="594">
        <f>X439+X443+X451+X455</f>
        <v>3.9701</v>
      </c>
      <c r="Y435" s="594">
        <f aca="true" t="shared" si="226" ref="Y435:AC437">Y439+Y443+Y447+Y451+Y455+Y459+Y463+Y467+Y471</f>
        <v>0.299916</v>
      </c>
      <c r="Z435" s="594"/>
      <c r="AA435" s="594">
        <f t="shared" si="226"/>
        <v>5.122905332870105</v>
      </c>
      <c r="AB435" s="594">
        <f>AB439+AB443+AB451+AB455</f>
        <v>2.1517999999999997</v>
      </c>
      <c r="AC435" s="594">
        <f t="shared" si="226"/>
        <v>4.327205961854308</v>
      </c>
      <c r="AD435" s="685">
        <f>AD439+AD443+AD451+AD455</f>
        <v>1.8183</v>
      </c>
      <c r="AE435" s="554"/>
      <c r="AF435" s="677">
        <f aca="true" t="shared" si="227" ref="AF435:AG437">AF439+AF443+AF447+AF451+AF455+AF459+AF463+AF467+AF471</f>
        <v>362</v>
      </c>
      <c r="AG435" s="677">
        <f t="shared" si="227"/>
        <v>0</v>
      </c>
      <c r="AH435" s="554"/>
      <c r="AI435" s="554"/>
      <c r="AJ435" s="555">
        <v>106.23302983559877</v>
      </c>
      <c r="AK435" s="556">
        <v>105.1948604625895</v>
      </c>
      <c r="AL435" s="555">
        <v>104.86113485125321</v>
      </c>
      <c r="AM435" s="554">
        <v>12</v>
      </c>
      <c r="AN435" s="554">
        <v>1000000</v>
      </c>
      <c r="AO435" s="554">
        <v>0.12</v>
      </c>
      <c r="AP435" s="563">
        <f>AE435*AH435*AJ435%*AM435/AN435*AO435</f>
        <v>0</v>
      </c>
      <c r="AQ435" s="563">
        <f t="shared" si="209"/>
        <v>0</v>
      </c>
      <c r="AR435" s="563">
        <f t="shared" si="210"/>
        <v>0</v>
      </c>
      <c r="AS435" s="554">
        <v>0.18</v>
      </c>
      <c r="AT435" s="563">
        <f t="shared" si="208"/>
        <v>0.299916</v>
      </c>
      <c r="BG435" s="557"/>
    </row>
    <row r="436" spans="1:46" s="553" customFormat="1" ht="73.5" customHeight="1">
      <c r="A436" s="771"/>
      <c r="B436" s="771"/>
      <c r="C436" s="771"/>
      <c r="D436" s="558">
        <v>2014</v>
      </c>
      <c r="E436" s="594">
        <f>G436+K436+M436+O436+Q436+I436</f>
        <v>1.799</v>
      </c>
      <c r="F436" s="594">
        <f>F440+F444+F448+F452+F456+F460+F464+F468+F472</f>
        <v>3</v>
      </c>
      <c r="G436" s="620">
        <f t="shared" si="225"/>
        <v>0</v>
      </c>
      <c r="H436" s="685"/>
      <c r="I436" s="594">
        <f t="shared" si="225"/>
        <v>1.799</v>
      </c>
      <c r="J436" s="594">
        <f>J440+J444+J448+J452+J456+J460+J464+J468+J472</f>
        <v>3</v>
      </c>
      <c r="K436" s="620">
        <f t="shared" si="225"/>
        <v>0</v>
      </c>
      <c r="L436" s="620"/>
      <c r="M436" s="620">
        <f t="shared" si="225"/>
        <v>0</v>
      </c>
      <c r="N436" s="685"/>
      <c r="O436" s="620">
        <f t="shared" si="225"/>
        <v>0</v>
      </c>
      <c r="P436" s="620"/>
      <c r="Q436" s="620">
        <f t="shared" si="225"/>
        <v>0</v>
      </c>
      <c r="R436" s="620"/>
      <c r="S436" s="795"/>
      <c r="T436" s="798"/>
      <c r="U436" s="559">
        <f>U440+U444+U448+U452+U456+U460+U464+U468+U472</f>
        <v>370</v>
      </c>
      <c r="V436" s="594" t="s">
        <v>817</v>
      </c>
      <c r="W436" s="594">
        <f>Y436+AA436+AC436</f>
        <v>9.723819451489833</v>
      </c>
      <c r="X436" s="594">
        <f>X440+X444+X448+X452+X456+X460+X464+X468+X472</f>
        <v>0.05</v>
      </c>
      <c r="Y436" s="721">
        <f>Y440+Y444+Y448+Y452+Y456+Y460+Y464+Y468+Y472</f>
        <v>0.36605999999999994</v>
      </c>
      <c r="Z436" s="594"/>
      <c r="AA436" s="594">
        <f t="shared" si="226"/>
        <v>5.072841398652638</v>
      </c>
      <c r="AB436" s="594">
        <f>AB440+AB444+AB448+AB452+AB456+AB460+AB464+AB468+AB472</f>
        <v>0.03</v>
      </c>
      <c r="AC436" s="594">
        <f t="shared" si="226"/>
        <v>4.284918052837194</v>
      </c>
      <c r="AD436" s="685">
        <f>AD440+AD444+AD448+AD452+AD456+AD460+AD464+AD468+AD472</f>
        <v>0.02</v>
      </c>
      <c r="AE436" s="554"/>
      <c r="AF436" s="677">
        <f t="shared" si="227"/>
        <v>362</v>
      </c>
      <c r="AG436" s="677">
        <f t="shared" si="227"/>
        <v>0</v>
      </c>
      <c r="AH436" s="554"/>
      <c r="AI436" s="554"/>
      <c r="AJ436" s="555">
        <v>106.23302983559877</v>
      </c>
      <c r="AK436" s="556">
        <v>105.1948604625895</v>
      </c>
      <c r="AL436" s="555">
        <v>104.86113485125321</v>
      </c>
      <c r="AM436" s="554">
        <v>12</v>
      </c>
      <c r="AN436" s="554">
        <v>1000000</v>
      </c>
      <c r="AO436" s="554">
        <v>0.12</v>
      </c>
      <c r="AP436" s="563">
        <f>AE436*AH436*AK436%*AM436/AN436*AO436</f>
        <v>0</v>
      </c>
      <c r="AQ436" s="563">
        <f t="shared" si="209"/>
        <v>0</v>
      </c>
      <c r="AR436" s="563">
        <f t="shared" si="210"/>
        <v>0</v>
      </c>
      <c r="AS436" s="554">
        <v>0.18</v>
      </c>
      <c r="AT436" s="563">
        <f t="shared" si="208"/>
        <v>0.19429199999999996</v>
      </c>
    </row>
    <row r="437" spans="1:46" s="644" customFormat="1" ht="83.25" customHeight="1">
      <c r="A437" s="771"/>
      <c r="B437" s="771"/>
      <c r="C437" s="771"/>
      <c r="D437" s="655" t="s">
        <v>615</v>
      </c>
      <c r="E437" s="646">
        <v>0</v>
      </c>
      <c r="F437" s="646">
        <f>SUM(F441+F445+F449+F453+F457+F461+F465+F469+F473)</f>
        <v>1.2160000000000002</v>
      </c>
      <c r="G437" s="635">
        <f t="shared" si="225"/>
        <v>0</v>
      </c>
      <c r="H437" s="661">
        <f>H441+H445+H449+H453+H457+H461+H465+H469+H473</f>
        <v>0</v>
      </c>
      <c r="I437" s="646">
        <v>0</v>
      </c>
      <c r="J437" s="646">
        <f>SUM(J441+J445+J449+J453+J457+J461+J465+J469+J473)</f>
        <v>1.2160000000000002</v>
      </c>
      <c r="K437" s="635">
        <f t="shared" si="225"/>
        <v>0</v>
      </c>
      <c r="L437" s="656">
        <f>L441+L445+L449+L453+L457+L461+L465+L469+L473</f>
        <v>0</v>
      </c>
      <c r="M437" s="635">
        <f t="shared" si="225"/>
        <v>0</v>
      </c>
      <c r="N437" s="661">
        <f>N441+N445+N449+N453+N457+N461+N465+N469+N473</f>
        <v>0</v>
      </c>
      <c r="O437" s="635">
        <f t="shared" si="225"/>
        <v>0</v>
      </c>
      <c r="P437" s="656">
        <f>P441+P445+P449+P453+P457+P461+P465+P469+P473</f>
        <v>0</v>
      </c>
      <c r="Q437" s="635">
        <f t="shared" si="225"/>
        <v>0</v>
      </c>
      <c r="R437" s="656">
        <f>R441+R445+R449+R453+R457+R461+R465+R469+R473</f>
        <v>0</v>
      </c>
      <c r="S437" s="795"/>
      <c r="T437" s="799"/>
      <c r="U437" s="637">
        <v>1746</v>
      </c>
      <c r="V437" s="636" t="s">
        <v>839</v>
      </c>
      <c r="W437" s="646">
        <f>SUM(Y437+AA437+AC437)</f>
        <v>0</v>
      </c>
      <c r="X437" s="646">
        <f>SUM(X441+X445+X449+X453+X457+X461+X465+X469+X473)</f>
        <v>0</v>
      </c>
      <c r="Y437" s="646">
        <f t="shared" si="226"/>
        <v>0</v>
      </c>
      <c r="Z437" s="646"/>
      <c r="AA437" s="646">
        <f t="shared" si="226"/>
        <v>0</v>
      </c>
      <c r="AB437" s="646"/>
      <c r="AC437" s="646">
        <f t="shared" si="226"/>
        <v>0</v>
      </c>
      <c r="AD437" s="701"/>
      <c r="AE437" s="638"/>
      <c r="AF437" s="657">
        <f t="shared" si="227"/>
        <v>0</v>
      </c>
      <c r="AG437" s="657">
        <f t="shared" si="227"/>
        <v>0</v>
      </c>
      <c r="AH437" s="638"/>
      <c r="AI437" s="638"/>
      <c r="AJ437" s="641">
        <v>106.23302983559877</v>
      </c>
      <c r="AK437" s="642">
        <v>105.1948604625895</v>
      </c>
      <c r="AL437" s="641">
        <v>104.86113485125321</v>
      </c>
      <c r="AM437" s="638">
        <v>12</v>
      </c>
      <c r="AN437" s="638">
        <v>1000000</v>
      </c>
      <c r="AO437" s="638">
        <v>0.12</v>
      </c>
      <c r="AP437" s="643">
        <f>AE437*AH437*AL437%*AM437/AN437*AO437</f>
        <v>0</v>
      </c>
      <c r="AQ437" s="643">
        <f t="shared" si="209"/>
        <v>0</v>
      </c>
      <c r="AR437" s="643">
        <f t="shared" si="210"/>
        <v>0</v>
      </c>
      <c r="AS437" s="638">
        <v>0.18</v>
      </c>
      <c r="AT437" s="643">
        <f t="shared" si="208"/>
        <v>0</v>
      </c>
    </row>
    <row r="438" spans="1:46" ht="26.25" customHeight="1">
      <c r="A438" s="763">
        <v>1</v>
      </c>
      <c r="B438" s="742" t="s">
        <v>607</v>
      </c>
      <c r="C438" s="742" t="s">
        <v>614</v>
      </c>
      <c r="D438" s="568" t="s">
        <v>273</v>
      </c>
      <c r="E438" s="578">
        <f>SUM(G438:Q438)</f>
        <v>0.244</v>
      </c>
      <c r="F438" s="578"/>
      <c r="G438" s="569">
        <f aca="true" t="shared" si="228" ref="G438:Q438">SUM(G439:G441)</f>
        <v>0</v>
      </c>
      <c r="H438" s="586"/>
      <c r="I438" s="578">
        <f t="shared" si="228"/>
        <v>0.244</v>
      </c>
      <c r="J438" s="578"/>
      <c r="K438" s="569">
        <f t="shared" si="228"/>
        <v>0</v>
      </c>
      <c r="L438" s="569"/>
      <c r="M438" s="569">
        <f t="shared" si="228"/>
        <v>0</v>
      </c>
      <c r="N438" s="586"/>
      <c r="O438" s="569">
        <f t="shared" si="228"/>
        <v>0</v>
      </c>
      <c r="P438" s="569"/>
      <c r="Q438" s="569">
        <f t="shared" si="228"/>
        <v>0</v>
      </c>
      <c r="R438" s="569"/>
      <c r="S438" s="762" t="s">
        <v>698</v>
      </c>
      <c r="T438" s="762" t="s">
        <v>820</v>
      </c>
      <c r="U438" s="493">
        <f>SUM(U439:U441)</f>
        <v>367</v>
      </c>
      <c r="V438" s="573"/>
      <c r="W438" s="577">
        <f>SUM(W439:W441)</f>
        <v>6.485052730088187</v>
      </c>
      <c r="X438" s="577"/>
      <c r="Y438" s="577">
        <f>SUM(Y439:Y441)</f>
        <v>0.19844399999999998</v>
      </c>
      <c r="Z438" s="577"/>
      <c r="AA438" s="577">
        <f>SUM(AA439:AA441)</f>
        <v>3.4079705925808064</v>
      </c>
      <c r="AB438" s="577"/>
      <c r="AC438" s="577">
        <f>SUM(AC439:AC441)</f>
        <v>2.878638137507381</v>
      </c>
      <c r="AD438" s="700"/>
      <c r="AF438" s="520"/>
      <c r="AH438" s="512">
        <v>17065</v>
      </c>
      <c r="AJ438" s="513">
        <v>106.23302983559877</v>
      </c>
      <c r="AK438" s="514">
        <v>105.1948604625895</v>
      </c>
      <c r="AL438" s="513">
        <v>104.86113485125321</v>
      </c>
      <c r="AM438" s="512">
        <v>12</v>
      </c>
      <c r="AN438" s="512">
        <v>1000000</v>
      </c>
      <c r="AO438" s="512">
        <v>0.12</v>
      </c>
      <c r="AP438" s="523">
        <f>AE438*AH438*AJ438%*AM438/AN438*AO438</f>
        <v>0</v>
      </c>
      <c r="AQ438" s="523">
        <f t="shared" si="209"/>
        <v>0</v>
      </c>
      <c r="AR438" s="523">
        <f t="shared" si="210"/>
        <v>0</v>
      </c>
      <c r="AS438" s="512">
        <v>0.18</v>
      </c>
      <c r="AT438" s="523">
        <f t="shared" si="208"/>
        <v>0.026352</v>
      </c>
    </row>
    <row r="439" spans="1:46" ht="26.25" customHeight="1">
      <c r="A439" s="763"/>
      <c r="B439" s="742"/>
      <c r="C439" s="742"/>
      <c r="D439" s="491">
        <v>2013</v>
      </c>
      <c r="E439" s="577">
        <f>G439+K439+M439+O439+Q439+I439</f>
        <v>0.143</v>
      </c>
      <c r="F439" s="578">
        <v>0.17</v>
      </c>
      <c r="G439" s="569">
        <v>0</v>
      </c>
      <c r="H439" s="586"/>
      <c r="I439" s="578">
        <v>0.143</v>
      </c>
      <c r="J439" s="578">
        <v>0.17</v>
      </c>
      <c r="K439" s="569">
        <v>0</v>
      </c>
      <c r="L439" s="569"/>
      <c r="M439" s="569">
        <v>0</v>
      </c>
      <c r="N439" s="586"/>
      <c r="O439" s="569">
        <v>0</v>
      </c>
      <c r="P439" s="569"/>
      <c r="Q439" s="569">
        <v>0</v>
      </c>
      <c r="R439" s="569"/>
      <c r="S439" s="762"/>
      <c r="T439" s="762"/>
      <c r="U439" s="493">
        <f>AE439</f>
        <v>121</v>
      </c>
      <c r="V439" s="573">
        <v>141</v>
      </c>
      <c r="W439" s="577">
        <f>Y439+AA439+AC439</f>
        <v>3.1741828581813647</v>
      </c>
      <c r="X439" s="577">
        <f>AB439+AD439</f>
        <v>1.489</v>
      </c>
      <c r="Y439" s="577">
        <f>AT439</f>
        <v>0.015443999999999998</v>
      </c>
      <c r="Z439" s="577"/>
      <c r="AA439" s="577">
        <f>AR439</f>
        <v>1.712352335020118</v>
      </c>
      <c r="AB439" s="577">
        <v>0.807</v>
      </c>
      <c r="AC439" s="577">
        <f>AQ439</f>
        <v>1.4463865231612467</v>
      </c>
      <c r="AD439" s="586">
        <v>0.682</v>
      </c>
      <c r="AE439" s="512">
        <f t="shared" si="197"/>
        <v>121</v>
      </c>
      <c r="AF439" s="520">
        <v>121</v>
      </c>
      <c r="AH439" s="512">
        <v>17065</v>
      </c>
      <c r="AJ439" s="513">
        <v>106.23302983559877</v>
      </c>
      <c r="AK439" s="514">
        <v>105.1948604625895</v>
      </c>
      <c r="AL439" s="513">
        <v>104.86113485125321</v>
      </c>
      <c r="AM439" s="512">
        <v>12</v>
      </c>
      <c r="AN439" s="512">
        <v>1000000</v>
      </c>
      <c r="AO439" s="512">
        <v>0.12</v>
      </c>
      <c r="AP439" s="523">
        <f>AE439*AH439*AJ439%*AM439/AN439*AO439</f>
        <v>3.1587388581813647</v>
      </c>
      <c r="AQ439" s="523">
        <f t="shared" si="209"/>
        <v>1.4463865231612467</v>
      </c>
      <c r="AR439" s="523">
        <f t="shared" si="210"/>
        <v>1.712352335020118</v>
      </c>
      <c r="AS439" s="512">
        <v>0.18</v>
      </c>
      <c r="AT439" s="523">
        <f t="shared" si="208"/>
        <v>0.015443999999999998</v>
      </c>
    </row>
    <row r="440" spans="1:46" ht="26.25" customHeight="1">
      <c r="A440" s="763"/>
      <c r="B440" s="742"/>
      <c r="C440" s="742"/>
      <c r="D440" s="491">
        <v>2014</v>
      </c>
      <c r="E440" s="578">
        <v>0.101</v>
      </c>
      <c r="F440" s="578">
        <v>0.171</v>
      </c>
      <c r="G440" s="569">
        <v>0</v>
      </c>
      <c r="H440" s="586"/>
      <c r="I440" s="578">
        <v>0.101</v>
      </c>
      <c r="J440" s="578">
        <v>0.171</v>
      </c>
      <c r="K440" s="569">
        <v>0</v>
      </c>
      <c r="L440" s="569"/>
      <c r="M440" s="569">
        <v>0</v>
      </c>
      <c r="N440" s="586"/>
      <c r="O440" s="569">
        <v>0</v>
      </c>
      <c r="P440" s="569"/>
      <c r="Q440" s="569">
        <v>0</v>
      </c>
      <c r="R440" s="569"/>
      <c r="S440" s="762"/>
      <c r="T440" s="762"/>
      <c r="U440" s="493">
        <v>130</v>
      </c>
      <c r="V440" s="573">
        <v>147</v>
      </c>
      <c r="W440" s="577">
        <f>Y440+AA440+AC440</f>
        <v>3.3108698719068226</v>
      </c>
      <c r="X440" s="577"/>
      <c r="Y440" s="577">
        <v>0.183</v>
      </c>
      <c r="Z440" s="577"/>
      <c r="AA440" s="577">
        <f>AR440</f>
        <v>1.6956182575606886</v>
      </c>
      <c r="AB440" s="577"/>
      <c r="AC440" s="577">
        <f>AQ440</f>
        <v>1.4322516143461341</v>
      </c>
      <c r="AD440" s="700"/>
      <c r="AE440" s="512">
        <f t="shared" si="197"/>
        <v>121</v>
      </c>
      <c r="AF440" s="520">
        <v>121</v>
      </c>
      <c r="AH440" s="512">
        <v>17065</v>
      </c>
      <c r="AJ440" s="513">
        <v>106.23302983559877</v>
      </c>
      <c r="AK440" s="514">
        <v>105.1948604625895</v>
      </c>
      <c r="AL440" s="513">
        <v>104.86113485125321</v>
      </c>
      <c r="AM440" s="512">
        <v>12</v>
      </c>
      <c r="AN440" s="512">
        <v>1000000</v>
      </c>
      <c r="AO440" s="512">
        <v>0.12</v>
      </c>
      <c r="AP440" s="523">
        <f>AE440*AH440*AK440%*AM440/AN440*AO440</f>
        <v>3.1278698719068228</v>
      </c>
      <c r="AQ440" s="523">
        <f t="shared" si="209"/>
        <v>1.4322516143461341</v>
      </c>
      <c r="AR440" s="523">
        <f t="shared" si="210"/>
        <v>1.6956182575606886</v>
      </c>
      <c r="AS440" s="512">
        <v>0.18</v>
      </c>
      <c r="AT440" s="523">
        <f t="shared" si="208"/>
        <v>0.010908</v>
      </c>
    </row>
    <row r="441" spans="1:46" s="644" customFormat="1" ht="26.25" customHeight="1">
      <c r="A441" s="763"/>
      <c r="B441" s="742"/>
      <c r="C441" s="742"/>
      <c r="D441" s="647">
        <v>2015</v>
      </c>
      <c r="E441" s="650">
        <v>0</v>
      </c>
      <c r="F441" s="650">
        <v>0.112</v>
      </c>
      <c r="G441" s="654">
        <v>0</v>
      </c>
      <c r="H441" s="667"/>
      <c r="I441" s="650">
        <v>0</v>
      </c>
      <c r="J441" s="650">
        <v>0.112</v>
      </c>
      <c r="K441" s="654">
        <v>0</v>
      </c>
      <c r="L441" s="654"/>
      <c r="M441" s="654">
        <v>0</v>
      </c>
      <c r="N441" s="667"/>
      <c r="O441" s="654">
        <v>0</v>
      </c>
      <c r="P441" s="654"/>
      <c r="Q441" s="654">
        <v>0</v>
      </c>
      <c r="R441" s="654"/>
      <c r="S441" s="762"/>
      <c r="T441" s="762"/>
      <c r="U441" s="637">
        <v>116</v>
      </c>
      <c r="V441" s="636" t="s">
        <v>821</v>
      </c>
      <c r="W441" s="646">
        <f>SUM(Y441:AC441)</f>
        <v>0</v>
      </c>
      <c r="X441" s="646"/>
      <c r="Y441" s="646">
        <f>AT441</f>
        <v>0</v>
      </c>
      <c r="Z441" s="646"/>
      <c r="AA441" s="646">
        <f>AR441</f>
        <v>0</v>
      </c>
      <c r="AB441" s="646"/>
      <c r="AC441" s="646">
        <f>AQ441</f>
        <v>0</v>
      </c>
      <c r="AD441" s="701"/>
      <c r="AE441" s="638">
        <f t="shared" si="197"/>
        <v>0</v>
      </c>
      <c r="AF441" s="639">
        <v>0</v>
      </c>
      <c r="AG441" s="638"/>
      <c r="AH441" s="638">
        <v>17065</v>
      </c>
      <c r="AI441" s="638"/>
      <c r="AJ441" s="641">
        <v>106.23302983559877</v>
      </c>
      <c r="AK441" s="642">
        <v>105.1948604625895</v>
      </c>
      <c r="AL441" s="641">
        <v>104.86113485125321</v>
      </c>
      <c r="AM441" s="638">
        <v>12</v>
      </c>
      <c r="AN441" s="638">
        <v>1000000</v>
      </c>
      <c r="AO441" s="638">
        <v>0.12</v>
      </c>
      <c r="AP441" s="643">
        <f>AE441*AH441*AL441%*AM441/AN441*AO441</f>
        <v>0</v>
      </c>
      <c r="AQ441" s="643">
        <f t="shared" si="209"/>
        <v>0</v>
      </c>
      <c r="AR441" s="643">
        <f t="shared" si="210"/>
        <v>0</v>
      </c>
      <c r="AS441" s="638">
        <v>0.18</v>
      </c>
      <c r="AT441" s="643">
        <f t="shared" si="208"/>
        <v>0</v>
      </c>
    </row>
    <row r="442" spans="1:46" ht="25.5" customHeight="1">
      <c r="A442" s="763">
        <v>2</v>
      </c>
      <c r="B442" s="742" t="s">
        <v>612</v>
      </c>
      <c r="C442" s="742" t="s">
        <v>614</v>
      </c>
      <c r="D442" s="568" t="s">
        <v>273</v>
      </c>
      <c r="E442" s="578">
        <f>SUM(G442:Q442)</f>
        <v>0.385</v>
      </c>
      <c r="F442" s="578"/>
      <c r="G442" s="569">
        <f aca="true" t="shared" si="229" ref="G442:Q442">SUM(G443:G445)</f>
        <v>0</v>
      </c>
      <c r="H442" s="586"/>
      <c r="I442" s="578">
        <f t="shared" si="229"/>
        <v>0.385</v>
      </c>
      <c r="J442" s="578"/>
      <c r="K442" s="569">
        <f t="shared" si="229"/>
        <v>0</v>
      </c>
      <c r="L442" s="569"/>
      <c r="M442" s="569">
        <f t="shared" si="229"/>
        <v>0</v>
      </c>
      <c r="N442" s="586"/>
      <c r="O442" s="569">
        <f t="shared" si="229"/>
        <v>0</v>
      </c>
      <c r="P442" s="569"/>
      <c r="Q442" s="569">
        <f t="shared" si="229"/>
        <v>0</v>
      </c>
      <c r="R442" s="569"/>
      <c r="S442" s="762" t="s">
        <v>698</v>
      </c>
      <c r="T442" s="762" t="s">
        <v>822</v>
      </c>
      <c r="U442" s="493">
        <f>SUM(U443:U445)</f>
        <v>518</v>
      </c>
      <c r="V442" s="573"/>
      <c r="W442" s="577">
        <f>SUM(W443:W445)</f>
        <v>9.705292593358699</v>
      </c>
      <c r="X442" s="577"/>
      <c r="Y442" s="577">
        <f>SUM(Y443:Y445)</f>
        <v>0.04158</v>
      </c>
      <c r="Z442" s="577"/>
      <c r="AA442" s="577">
        <f>SUM(AA443:AA445)</f>
        <v>5.238698596859752</v>
      </c>
      <c r="AB442" s="577"/>
      <c r="AC442" s="577">
        <f>SUM(AC443:AC445)</f>
        <v>4.425013996498949</v>
      </c>
      <c r="AD442" s="700"/>
      <c r="AF442" s="520"/>
      <c r="AH442" s="512">
        <v>17065</v>
      </c>
      <c r="AJ442" s="513">
        <v>106.23302983559877</v>
      </c>
      <c r="AK442" s="514">
        <v>105.1948604625895</v>
      </c>
      <c r="AL442" s="513">
        <v>104.86113485125321</v>
      </c>
      <c r="AM442" s="512">
        <v>12</v>
      </c>
      <c r="AN442" s="512">
        <v>1000000</v>
      </c>
      <c r="AO442" s="512">
        <v>0.12</v>
      </c>
      <c r="AP442" s="523">
        <f>AE442*AH442*AJ442%*AM442/AN442*AO442</f>
        <v>0</v>
      </c>
      <c r="AQ442" s="523">
        <f t="shared" si="209"/>
        <v>0</v>
      </c>
      <c r="AR442" s="523">
        <f t="shared" si="210"/>
        <v>0</v>
      </c>
      <c r="AS442" s="512">
        <v>0.18</v>
      </c>
      <c r="AT442" s="523">
        <f t="shared" si="208"/>
        <v>0.04157999999999999</v>
      </c>
    </row>
    <row r="443" spans="1:46" ht="25.5" customHeight="1">
      <c r="A443" s="763"/>
      <c r="B443" s="742"/>
      <c r="C443" s="742"/>
      <c r="D443" s="491">
        <v>2013</v>
      </c>
      <c r="E443" s="577">
        <f>G443+K443+M443+O443+Q443+I443</f>
        <v>0.2</v>
      </c>
      <c r="F443" s="578">
        <v>0.124</v>
      </c>
      <c r="G443" s="569">
        <v>0</v>
      </c>
      <c r="H443" s="586"/>
      <c r="I443" s="578">
        <v>0.2</v>
      </c>
      <c r="J443" s="578">
        <v>0.124</v>
      </c>
      <c r="K443" s="569">
        <v>0</v>
      </c>
      <c r="L443" s="569"/>
      <c r="M443" s="569">
        <v>0</v>
      </c>
      <c r="N443" s="586"/>
      <c r="O443" s="569">
        <v>0</v>
      </c>
      <c r="P443" s="569"/>
      <c r="Q443" s="569">
        <v>0</v>
      </c>
      <c r="R443" s="569"/>
      <c r="S443" s="762"/>
      <c r="T443" s="762"/>
      <c r="U443" s="493">
        <f>AE443</f>
        <v>186</v>
      </c>
      <c r="V443" s="573">
        <v>201</v>
      </c>
      <c r="W443" s="577">
        <f>Y443+AA443+AC443</f>
        <v>4.877182046460609</v>
      </c>
      <c r="X443" s="577">
        <f>AB443+AD443</f>
        <v>2.122</v>
      </c>
      <c r="Y443" s="577">
        <f>AT443</f>
        <v>0.021599999999999998</v>
      </c>
      <c r="Z443" s="577"/>
      <c r="AA443" s="577">
        <f>AR443</f>
        <v>2.6322110273862966</v>
      </c>
      <c r="AB443" s="577">
        <v>1.15</v>
      </c>
      <c r="AC443" s="577">
        <f>AQ443</f>
        <v>2.223371019074313</v>
      </c>
      <c r="AD443" s="586">
        <v>0.972</v>
      </c>
      <c r="AE443" s="512">
        <f t="shared" si="197"/>
        <v>186</v>
      </c>
      <c r="AF443" s="520">
        <v>186</v>
      </c>
      <c r="AH443" s="512">
        <v>17065</v>
      </c>
      <c r="AJ443" s="513">
        <v>106.23302983559877</v>
      </c>
      <c r="AK443" s="514">
        <v>105.1948604625895</v>
      </c>
      <c r="AL443" s="513">
        <v>104.86113485125321</v>
      </c>
      <c r="AM443" s="512">
        <v>12</v>
      </c>
      <c r="AN443" s="512">
        <v>1000000</v>
      </c>
      <c r="AO443" s="512">
        <v>0.12</v>
      </c>
      <c r="AP443" s="523">
        <f>AE443*AH443*AJ443%*AM443/AN443*AO443</f>
        <v>4.85558204646061</v>
      </c>
      <c r="AQ443" s="523">
        <f t="shared" si="209"/>
        <v>2.223371019074313</v>
      </c>
      <c r="AR443" s="523">
        <f t="shared" si="210"/>
        <v>2.6322110273862966</v>
      </c>
      <c r="AS443" s="512">
        <v>0.18</v>
      </c>
      <c r="AT443" s="523">
        <f t="shared" si="208"/>
        <v>0.021599999999999998</v>
      </c>
    </row>
    <row r="444" spans="1:46" ht="25.5" customHeight="1">
      <c r="A444" s="763"/>
      <c r="B444" s="742"/>
      <c r="C444" s="742"/>
      <c r="D444" s="491">
        <v>2014</v>
      </c>
      <c r="E444" s="578">
        <v>0.185</v>
      </c>
      <c r="F444" s="578">
        <v>0.191</v>
      </c>
      <c r="G444" s="569">
        <v>0</v>
      </c>
      <c r="H444" s="586"/>
      <c r="I444" s="578">
        <v>0.185</v>
      </c>
      <c r="J444" s="578">
        <v>0.191</v>
      </c>
      <c r="K444" s="569">
        <v>0</v>
      </c>
      <c r="L444" s="569"/>
      <c r="M444" s="569">
        <v>0</v>
      </c>
      <c r="N444" s="586"/>
      <c r="O444" s="569">
        <v>0</v>
      </c>
      <c r="P444" s="569"/>
      <c r="Q444" s="569">
        <v>0</v>
      </c>
      <c r="R444" s="569"/>
      <c r="S444" s="762"/>
      <c r="T444" s="762"/>
      <c r="U444" s="493">
        <f>AE444</f>
        <v>186</v>
      </c>
      <c r="V444" s="573">
        <v>223</v>
      </c>
      <c r="W444" s="577">
        <f>SUM(Y444:AC444)</f>
        <v>4.82811054689809</v>
      </c>
      <c r="X444" s="577"/>
      <c r="Y444" s="577">
        <f>AT444</f>
        <v>0.01998</v>
      </c>
      <c r="Z444" s="577"/>
      <c r="AA444" s="577">
        <f>AR444</f>
        <v>2.606487569473455</v>
      </c>
      <c r="AB444" s="577"/>
      <c r="AC444" s="577">
        <f>AQ444</f>
        <v>2.2016429774246355</v>
      </c>
      <c r="AD444" s="586"/>
      <c r="AE444" s="512">
        <f t="shared" si="197"/>
        <v>186</v>
      </c>
      <c r="AF444" s="520">
        <v>186</v>
      </c>
      <c r="AH444" s="512">
        <v>17065</v>
      </c>
      <c r="AJ444" s="513">
        <v>106.23302983559877</v>
      </c>
      <c r="AK444" s="514">
        <v>105.1948604625895</v>
      </c>
      <c r="AL444" s="513">
        <v>104.86113485125321</v>
      </c>
      <c r="AM444" s="512">
        <v>12</v>
      </c>
      <c r="AN444" s="512">
        <v>1000000</v>
      </c>
      <c r="AO444" s="512">
        <v>0.12</v>
      </c>
      <c r="AP444" s="523">
        <f>AE444*AH444*AK444%*AM444/AN444*AO444</f>
        <v>4.808130546898091</v>
      </c>
      <c r="AQ444" s="523">
        <f t="shared" si="209"/>
        <v>2.2016429774246355</v>
      </c>
      <c r="AR444" s="523">
        <f t="shared" si="210"/>
        <v>2.606487569473455</v>
      </c>
      <c r="AS444" s="512">
        <v>0.18</v>
      </c>
      <c r="AT444" s="523">
        <f t="shared" si="208"/>
        <v>0.01998</v>
      </c>
    </row>
    <row r="445" spans="1:46" s="644" customFormat="1" ht="25.5" customHeight="1">
      <c r="A445" s="763"/>
      <c r="B445" s="742"/>
      <c r="C445" s="742"/>
      <c r="D445" s="647">
        <v>2015</v>
      </c>
      <c r="E445" s="650">
        <v>0</v>
      </c>
      <c r="F445" s="650">
        <v>0.068</v>
      </c>
      <c r="G445" s="654">
        <v>0</v>
      </c>
      <c r="H445" s="667"/>
      <c r="I445" s="650">
        <v>0</v>
      </c>
      <c r="J445" s="650">
        <v>0.068</v>
      </c>
      <c r="K445" s="654">
        <v>0</v>
      </c>
      <c r="L445" s="654"/>
      <c r="M445" s="654">
        <v>0</v>
      </c>
      <c r="N445" s="667"/>
      <c r="O445" s="654">
        <v>0</v>
      </c>
      <c r="P445" s="654"/>
      <c r="Q445" s="654">
        <v>0</v>
      </c>
      <c r="R445" s="654"/>
      <c r="S445" s="762"/>
      <c r="T445" s="762"/>
      <c r="U445" s="637">
        <v>146</v>
      </c>
      <c r="V445" s="636" t="s">
        <v>823</v>
      </c>
      <c r="W445" s="646">
        <f>SUM(Y445:AC445)</f>
        <v>0</v>
      </c>
      <c r="X445" s="646"/>
      <c r="Y445" s="646">
        <f>AT445</f>
        <v>0</v>
      </c>
      <c r="Z445" s="646"/>
      <c r="AA445" s="646">
        <f>AR445</f>
        <v>0</v>
      </c>
      <c r="AB445" s="646"/>
      <c r="AC445" s="646">
        <f>AQ445</f>
        <v>0</v>
      </c>
      <c r="AD445" s="667"/>
      <c r="AE445" s="638">
        <f t="shared" si="197"/>
        <v>0</v>
      </c>
      <c r="AF445" s="639">
        <v>0</v>
      </c>
      <c r="AG445" s="638"/>
      <c r="AH445" s="638">
        <v>17065</v>
      </c>
      <c r="AI445" s="638"/>
      <c r="AJ445" s="641">
        <v>106.23302983559877</v>
      </c>
      <c r="AK445" s="642">
        <v>105.1948604625895</v>
      </c>
      <c r="AL445" s="641">
        <v>104.86113485125321</v>
      </c>
      <c r="AM445" s="638">
        <v>12</v>
      </c>
      <c r="AN445" s="638">
        <v>1000000</v>
      </c>
      <c r="AO445" s="638">
        <v>0.12</v>
      </c>
      <c r="AP445" s="643">
        <f>AE445*AH445*AL445%*AM445/AN445*AO445</f>
        <v>0</v>
      </c>
      <c r="AQ445" s="643">
        <f t="shared" si="209"/>
        <v>0</v>
      </c>
      <c r="AR445" s="643">
        <f t="shared" si="210"/>
        <v>0</v>
      </c>
      <c r="AS445" s="638">
        <v>0.18</v>
      </c>
      <c r="AT445" s="643">
        <f t="shared" si="208"/>
        <v>0</v>
      </c>
    </row>
    <row r="446" spans="1:46" ht="42.75" customHeight="1">
      <c r="A446" s="763">
        <v>3</v>
      </c>
      <c r="B446" s="742" t="s">
        <v>608</v>
      </c>
      <c r="C446" s="742" t="s">
        <v>614</v>
      </c>
      <c r="D446" s="568" t="s">
        <v>273</v>
      </c>
      <c r="E446" s="578">
        <f>SUM(G446:Q446)</f>
        <v>0.008</v>
      </c>
      <c r="F446" s="578"/>
      <c r="G446" s="569">
        <f aca="true" t="shared" si="230" ref="G446:Q446">SUM(G447:G449)</f>
        <v>0</v>
      </c>
      <c r="H446" s="586"/>
      <c r="I446" s="578">
        <f t="shared" si="230"/>
        <v>0.008</v>
      </c>
      <c r="J446" s="578"/>
      <c r="K446" s="569">
        <f t="shared" si="230"/>
        <v>0</v>
      </c>
      <c r="L446" s="569"/>
      <c r="M446" s="569">
        <f t="shared" si="230"/>
        <v>0</v>
      </c>
      <c r="N446" s="586"/>
      <c r="O446" s="569">
        <f t="shared" si="230"/>
        <v>0</v>
      </c>
      <c r="P446" s="569"/>
      <c r="Q446" s="569">
        <f t="shared" si="230"/>
        <v>0</v>
      </c>
      <c r="R446" s="569"/>
      <c r="S446" s="762" t="s">
        <v>698</v>
      </c>
      <c r="T446" s="762" t="s">
        <v>824</v>
      </c>
      <c r="U446" s="493">
        <f>SUM(U447:U449)</f>
        <v>8</v>
      </c>
      <c r="V446" s="573"/>
      <c r="W446" s="577">
        <f>SUM(W447:W449)</f>
        <v>0.15673033215094676</v>
      </c>
      <c r="X446" s="577"/>
      <c r="Y446" s="577">
        <f>SUM(Y447:Y449)</f>
        <v>0.000864</v>
      </c>
      <c r="Z446" s="577"/>
      <c r="AA446" s="577">
        <f>SUM(AA447:AA449)</f>
        <v>0.08449513865902825</v>
      </c>
      <c r="AB446" s="577"/>
      <c r="AC446" s="577">
        <f>SUM(AC447:AC449)</f>
        <v>0.07137119349191852</v>
      </c>
      <c r="AD446" s="586"/>
      <c r="AF446" s="520"/>
      <c r="AH446" s="512">
        <v>17065</v>
      </c>
      <c r="AJ446" s="513">
        <v>106.23302983559877</v>
      </c>
      <c r="AK446" s="514">
        <v>105.1948604625895</v>
      </c>
      <c r="AL446" s="513">
        <v>104.86113485125321</v>
      </c>
      <c r="AM446" s="512">
        <v>12</v>
      </c>
      <c r="AN446" s="512">
        <v>1000000</v>
      </c>
      <c r="AO446" s="512">
        <v>0.12</v>
      </c>
      <c r="AP446" s="523">
        <f>AE446*AH446*AJ446%*AM446/AN446*AO446</f>
        <v>0</v>
      </c>
      <c r="AQ446" s="523">
        <f t="shared" si="209"/>
        <v>0</v>
      </c>
      <c r="AR446" s="523">
        <f t="shared" si="210"/>
        <v>0</v>
      </c>
      <c r="AS446" s="512">
        <v>0.18</v>
      </c>
      <c r="AT446" s="523">
        <f t="shared" si="208"/>
        <v>0.0008639999999999999</v>
      </c>
    </row>
    <row r="447" spans="1:46" ht="42.75" customHeight="1">
      <c r="A447" s="763"/>
      <c r="B447" s="742"/>
      <c r="C447" s="742"/>
      <c r="D447" s="568">
        <v>2013</v>
      </c>
      <c r="E447" s="577">
        <f>G447+K447+M447+O447+Q447+I447</f>
        <v>0.005</v>
      </c>
      <c r="F447" s="578">
        <v>0.005</v>
      </c>
      <c r="G447" s="569">
        <v>0</v>
      </c>
      <c r="H447" s="586"/>
      <c r="I447" s="578">
        <v>0.005</v>
      </c>
      <c r="J447" s="578">
        <v>0.005</v>
      </c>
      <c r="K447" s="569">
        <v>0</v>
      </c>
      <c r="L447" s="569"/>
      <c r="M447" s="569">
        <v>0</v>
      </c>
      <c r="N447" s="586"/>
      <c r="O447" s="569">
        <v>0</v>
      </c>
      <c r="P447" s="569"/>
      <c r="Q447" s="569">
        <v>0</v>
      </c>
      <c r="R447" s="569"/>
      <c r="S447" s="762"/>
      <c r="T447" s="762"/>
      <c r="U447" s="493">
        <f>AE447</f>
        <v>3</v>
      </c>
      <c r="V447" s="573">
        <v>3</v>
      </c>
      <c r="W447" s="577">
        <f>Y447+AA447+AC447</f>
        <v>0.07885583945904209</v>
      </c>
      <c r="X447" s="577"/>
      <c r="Y447" s="577">
        <f>AT447</f>
        <v>0.00054</v>
      </c>
      <c r="Z447" s="577"/>
      <c r="AA447" s="577">
        <f>AR447</f>
        <v>0.04245501657074672</v>
      </c>
      <c r="AB447" s="577"/>
      <c r="AC447" s="577">
        <f>AQ447</f>
        <v>0.035860822888295375</v>
      </c>
      <c r="AD447" s="586"/>
      <c r="AE447" s="512">
        <f t="shared" si="197"/>
        <v>3</v>
      </c>
      <c r="AF447" s="520">
        <v>3</v>
      </c>
      <c r="AH447" s="512">
        <v>17065</v>
      </c>
      <c r="AJ447" s="513">
        <v>106.23302983559877</v>
      </c>
      <c r="AK447" s="514">
        <v>105.1948604625895</v>
      </c>
      <c r="AL447" s="513">
        <v>104.86113485125321</v>
      </c>
      <c r="AM447" s="512">
        <v>12</v>
      </c>
      <c r="AN447" s="512">
        <v>1000000</v>
      </c>
      <c r="AO447" s="512">
        <v>0.12</v>
      </c>
      <c r="AP447" s="523">
        <f>AE447*AH447*AJ447%*AM447/AN447*AO447</f>
        <v>0.0783158394590421</v>
      </c>
      <c r="AQ447" s="523">
        <f t="shared" si="209"/>
        <v>0.035860822888295375</v>
      </c>
      <c r="AR447" s="523">
        <f t="shared" si="210"/>
        <v>0.04245501657074672</v>
      </c>
      <c r="AS447" s="512">
        <v>0.18</v>
      </c>
      <c r="AT447" s="523">
        <f t="shared" si="208"/>
        <v>0.00054</v>
      </c>
    </row>
    <row r="448" spans="1:46" ht="42.75" customHeight="1">
      <c r="A448" s="763"/>
      <c r="B448" s="742"/>
      <c r="C448" s="742"/>
      <c r="D448" s="491">
        <v>2014</v>
      </c>
      <c r="E448" s="578">
        <v>0.003</v>
      </c>
      <c r="F448" s="578">
        <v>0.002</v>
      </c>
      <c r="G448" s="569">
        <v>0</v>
      </c>
      <c r="H448" s="586"/>
      <c r="I448" s="578">
        <v>0.003</v>
      </c>
      <c r="J448" s="578">
        <v>0.002</v>
      </c>
      <c r="K448" s="569">
        <v>0</v>
      </c>
      <c r="L448" s="569"/>
      <c r="M448" s="569">
        <v>0</v>
      </c>
      <c r="N448" s="586"/>
      <c r="O448" s="569">
        <v>0</v>
      </c>
      <c r="P448" s="569"/>
      <c r="Q448" s="569">
        <v>0</v>
      </c>
      <c r="R448" s="569"/>
      <c r="S448" s="762"/>
      <c r="T448" s="762"/>
      <c r="U448" s="493">
        <v>2</v>
      </c>
      <c r="V448" s="573">
        <v>2</v>
      </c>
      <c r="W448" s="577">
        <f>Y448+AA448+AC448</f>
        <v>0.07787449269190466</v>
      </c>
      <c r="X448" s="577"/>
      <c r="Y448" s="577">
        <f>AT448</f>
        <v>0.00032399999999999996</v>
      </c>
      <c r="Z448" s="577"/>
      <c r="AA448" s="577">
        <f>AR448</f>
        <v>0.04204012208828153</v>
      </c>
      <c r="AB448" s="577"/>
      <c r="AC448" s="577">
        <f>AQ448</f>
        <v>0.035510370603623144</v>
      </c>
      <c r="AD448" s="586"/>
      <c r="AE448" s="512">
        <f t="shared" si="197"/>
        <v>3</v>
      </c>
      <c r="AF448" s="520">
        <v>3</v>
      </c>
      <c r="AH448" s="512">
        <v>17065</v>
      </c>
      <c r="AJ448" s="513">
        <v>106.23302983559877</v>
      </c>
      <c r="AK448" s="514">
        <v>105.1948604625895</v>
      </c>
      <c r="AL448" s="513">
        <v>104.86113485125321</v>
      </c>
      <c r="AM448" s="512">
        <v>12</v>
      </c>
      <c r="AN448" s="512">
        <v>1000000</v>
      </c>
      <c r="AO448" s="512">
        <v>0.12</v>
      </c>
      <c r="AP448" s="523">
        <f>AE448*AH448*AK448%*AM448/AN448*AO448</f>
        <v>0.07755049269190467</v>
      </c>
      <c r="AQ448" s="523">
        <f t="shared" si="209"/>
        <v>0.035510370603623144</v>
      </c>
      <c r="AR448" s="523">
        <f t="shared" si="210"/>
        <v>0.04204012208828153</v>
      </c>
      <c r="AS448" s="512">
        <v>0.18</v>
      </c>
      <c r="AT448" s="523">
        <f t="shared" si="208"/>
        <v>0.00032399999999999996</v>
      </c>
    </row>
    <row r="449" spans="1:46" s="644" customFormat="1" ht="42.75" customHeight="1">
      <c r="A449" s="763"/>
      <c r="B449" s="742"/>
      <c r="C449" s="742"/>
      <c r="D449" s="647">
        <v>2015</v>
      </c>
      <c r="E449" s="650">
        <v>0</v>
      </c>
      <c r="F449" s="650">
        <v>0.003</v>
      </c>
      <c r="G449" s="654">
        <v>0</v>
      </c>
      <c r="H449" s="667"/>
      <c r="I449" s="650">
        <v>0</v>
      </c>
      <c r="J449" s="650">
        <v>0.003</v>
      </c>
      <c r="K449" s="654">
        <v>0</v>
      </c>
      <c r="L449" s="654"/>
      <c r="M449" s="654">
        <v>0</v>
      </c>
      <c r="N449" s="667"/>
      <c r="O449" s="654">
        <v>0</v>
      </c>
      <c r="P449" s="654"/>
      <c r="Q449" s="654">
        <v>0</v>
      </c>
      <c r="R449" s="654"/>
      <c r="S449" s="762"/>
      <c r="T449" s="762"/>
      <c r="U449" s="637">
        <v>3</v>
      </c>
      <c r="V449" s="636" t="s">
        <v>825</v>
      </c>
      <c r="W449" s="646">
        <f>SUM(Y449:AC449)</f>
        <v>0</v>
      </c>
      <c r="X449" s="646"/>
      <c r="Y449" s="646">
        <f>AT449</f>
        <v>0</v>
      </c>
      <c r="Z449" s="646"/>
      <c r="AA449" s="646">
        <f>AR449</f>
        <v>0</v>
      </c>
      <c r="AB449" s="646"/>
      <c r="AC449" s="646">
        <f>AQ449</f>
        <v>0</v>
      </c>
      <c r="AD449" s="667"/>
      <c r="AE449" s="638">
        <f t="shared" si="197"/>
        <v>0</v>
      </c>
      <c r="AF449" s="639">
        <v>0</v>
      </c>
      <c r="AG449" s="638"/>
      <c r="AH449" s="638">
        <v>17065</v>
      </c>
      <c r="AI449" s="638"/>
      <c r="AJ449" s="641">
        <v>106.23302983559877</v>
      </c>
      <c r="AK449" s="642">
        <v>105.1948604625895</v>
      </c>
      <c r="AL449" s="641">
        <v>104.86113485125321</v>
      </c>
      <c r="AM449" s="638">
        <v>12</v>
      </c>
      <c r="AN449" s="638">
        <v>1000000</v>
      </c>
      <c r="AO449" s="638">
        <v>0.12</v>
      </c>
      <c r="AP449" s="643">
        <f>AE449*AH449*AL449%*AM449/AN449*AO449</f>
        <v>0</v>
      </c>
      <c r="AQ449" s="643">
        <f t="shared" si="209"/>
        <v>0</v>
      </c>
      <c r="AR449" s="643">
        <f t="shared" si="210"/>
        <v>0</v>
      </c>
      <c r="AS449" s="638">
        <v>0.18</v>
      </c>
      <c r="AT449" s="643">
        <f t="shared" si="208"/>
        <v>0</v>
      </c>
    </row>
    <row r="450" spans="1:46" ht="24.75" customHeight="1">
      <c r="A450" s="763">
        <v>4</v>
      </c>
      <c r="B450" s="742" t="s">
        <v>609</v>
      </c>
      <c r="C450" s="742" t="s">
        <v>614</v>
      </c>
      <c r="D450" s="568" t="s">
        <v>273</v>
      </c>
      <c r="E450" s="578">
        <f>SUM(G450:Q450)</f>
        <v>1.0110000000000001</v>
      </c>
      <c r="F450" s="578"/>
      <c r="G450" s="569">
        <f aca="true" t="shared" si="231" ref="G450:Q450">SUM(G451:G453)</f>
        <v>0</v>
      </c>
      <c r="H450" s="586"/>
      <c r="I450" s="578">
        <f t="shared" si="231"/>
        <v>1.0110000000000001</v>
      </c>
      <c r="J450" s="578"/>
      <c r="K450" s="569">
        <f t="shared" si="231"/>
        <v>0</v>
      </c>
      <c r="L450" s="569"/>
      <c r="M450" s="569">
        <f t="shared" si="231"/>
        <v>0</v>
      </c>
      <c r="N450" s="586"/>
      <c r="O450" s="569">
        <f t="shared" si="231"/>
        <v>0</v>
      </c>
      <c r="P450" s="569"/>
      <c r="Q450" s="569">
        <f t="shared" si="231"/>
        <v>0</v>
      </c>
      <c r="R450" s="569"/>
      <c r="S450" s="762" t="s">
        <v>698</v>
      </c>
      <c r="T450" s="762" t="s">
        <v>826</v>
      </c>
      <c r="U450" s="493">
        <f>SUM(U451:U453)</f>
        <v>46</v>
      </c>
      <c r="V450" s="573"/>
      <c r="W450" s="577">
        <f>SUM(W451:W453)</f>
        <v>0.8885196607547339</v>
      </c>
      <c r="X450" s="577"/>
      <c r="Y450" s="577">
        <f>SUM(Y451:Y453)</f>
        <v>0.10918799999999998</v>
      </c>
      <c r="Z450" s="577"/>
      <c r="AA450" s="577">
        <f>SUM(AA451:AA453)</f>
        <v>0.42247569329514123</v>
      </c>
      <c r="AB450" s="577"/>
      <c r="AC450" s="577">
        <f>SUM(AC451:AC453)</f>
        <v>0.3568559674595927</v>
      </c>
      <c r="AD450" s="586"/>
      <c r="AF450" s="520"/>
      <c r="AH450" s="512">
        <v>17065</v>
      </c>
      <c r="AJ450" s="513">
        <v>106.23302983559877</v>
      </c>
      <c r="AK450" s="514">
        <v>105.1948604625895</v>
      </c>
      <c r="AL450" s="513">
        <v>104.86113485125321</v>
      </c>
      <c r="AM450" s="512">
        <v>12</v>
      </c>
      <c r="AN450" s="512">
        <v>1000000</v>
      </c>
      <c r="AO450" s="512">
        <v>0.12</v>
      </c>
      <c r="AP450" s="523">
        <f>AE450*AH450*AJ450%*AM450/AN450*AO450</f>
        <v>0</v>
      </c>
      <c r="AQ450" s="523">
        <f t="shared" si="209"/>
        <v>0</v>
      </c>
      <c r="AR450" s="523">
        <f t="shared" si="210"/>
        <v>0</v>
      </c>
      <c r="AS450" s="512">
        <v>0.18</v>
      </c>
      <c r="AT450" s="523">
        <f t="shared" si="208"/>
        <v>0.10918800000000001</v>
      </c>
    </row>
    <row r="451" spans="1:46" ht="24.75" customHeight="1">
      <c r="A451" s="763"/>
      <c r="B451" s="742"/>
      <c r="C451" s="742"/>
      <c r="D451" s="568">
        <v>2013</v>
      </c>
      <c r="E451" s="577">
        <f>G451+K451+M451+O451+Q451+I451</f>
        <v>0.888</v>
      </c>
      <c r="F451" s="578">
        <v>0.891</v>
      </c>
      <c r="G451" s="569">
        <v>0</v>
      </c>
      <c r="H451" s="586"/>
      <c r="I451" s="578">
        <v>0.888</v>
      </c>
      <c r="J451" s="578">
        <v>0.891</v>
      </c>
      <c r="K451" s="569">
        <v>0</v>
      </c>
      <c r="L451" s="569"/>
      <c r="M451" s="569">
        <v>0</v>
      </c>
      <c r="N451" s="586"/>
      <c r="O451" s="569">
        <v>0</v>
      </c>
      <c r="P451" s="569"/>
      <c r="Q451" s="569">
        <v>0</v>
      </c>
      <c r="R451" s="569"/>
      <c r="S451" s="762"/>
      <c r="T451" s="762"/>
      <c r="U451" s="493">
        <f>AE451</f>
        <v>15</v>
      </c>
      <c r="V451" s="573">
        <v>15</v>
      </c>
      <c r="W451" s="577">
        <f>Y451+AA451+AC451</f>
        <v>0.48748319729521045</v>
      </c>
      <c r="X451" s="577">
        <f>AB451+AD451</f>
        <v>0.1583</v>
      </c>
      <c r="Y451" s="577">
        <f>AT451</f>
        <v>0.09590399999999999</v>
      </c>
      <c r="Z451" s="577"/>
      <c r="AA451" s="577">
        <f>AR451</f>
        <v>0.2122750828537336</v>
      </c>
      <c r="AB451" s="577">
        <v>0.0858</v>
      </c>
      <c r="AC451" s="577">
        <f>AQ451</f>
        <v>0.17930411444147687</v>
      </c>
      <c r="AD451" s="586">
        <v>0.0725</v>
      </c>
      <c r="AE451" s="512">
        <f t="shared" si="197"/>
        <v>15</v>
      </c>
      <c r="AF451" s="520">
        <v>15</v>
      </c>
      <c r="AH451" s="512">
        <v>17065</v>
      </c>
      <c r="AJ451" s="513">
        <v>106.23302983559877</v>
      </c>
      <c r="AK451" s="514">
        <v>105.1948604625895</v>
      </c>
      <c r="AL451" s="513">
        <v>104.86113485125321</v>
      </c>
      <c r="AM451" s="512">
        <v>12</v>
      </c>
      <c r="AN451" s="512">
        <v>1000000</v>
      </c>
      <c r="AO451" s="512">
        <v>0.12</v>
      </c>
      <c r="AP451" s="523">
        <f>AE451*AH451*AJ451%*AM451/AN451*AO451</f>
        <v>0.39157919729521046</v>
      </c>
      <c r="AQ451" s="523">
        <f t="shared" si="209"/>
        <v>0.17930411444147687</v>
      </c>
      <c r="AR451" s="523">
        <f t="shared" si="210"/>
        <v>0.2122750828537336</v>
      </c>
      <c r="AS451" s="512">
        <v>0.18</v>
      </c>
      <c r="AT451" s="523">
        <f t="shared" si="208"/>
        <v>0.09590399999999999</v>
      </c>
    </row>
    <row r="452" spans="1:46" ht="24.75" customHeight="1">
      <c r="A452" s="763"/>
      <c r="B452" s="742"/>
      <c r="C452" s="742"/>
      <c r="D452" s="491">
        <v>2014</v>
      </c>
      <c r="E452" s="578">
        <v>0.123</v>
      </c>
      <c r="F452" s="578">
        <v>0.905</v>
      </c>
      <c r="G452" s="569">
        <v>0</v>
      </c>
      <c r="H452" s="586"/>
      <c r="I452" s="578">
        <v>0.123</v>
      </c>
      <c r="J452" s="578">
        <v>0.905</v>
      </c>
      <c r="K452" s="569">
        <v>0</v>
      </c>
      <c r="L452" s="569"/>
      <c r="M452" s="569">
        <v>0</v>
      </c>
      <c r="N452" s="586"/>
      <c r="O452" s="569">
        <v>0</v>
      </c>
      <c r="P452" s="569"/>
      <c r="Q452" s="569">
        <v>0</v>
      </c>
      <c r="R452" s="569"/>
      <c r="S452" s="762"/>
      <c r="T452" s="762"/>
      <c r="U452" s="493">
        <f>AE452</f>
        <v>15</v>
      </c>
      <c r="V452" s="573">
        <v>15</v>
      </c>
      <c r="W452" s="577">
        <f>Y452+AA452+AC452</f>
        <v>0.4010364634595235</v>
      </c>
      <c r="X452" s="577">
        <f>AB452+AD452</f>
        <v>0.05</v>
      </c>
      <c r="Y452" s="577">
        <f>AT452</f>
        <v>0.013283999999999997</v>
      </c>
      <c r="Z452" s="577"/>
      <c r="AA452" s="577">
        <f>AR452</f>
        <v>0.21020061044140767</v>
      </c>
      <c r="AB452" s="577">
        <v>0.03</v>
      </c>
      <c r="AC452" s="577">
        <f>AQ452</f>
        <v>0.1775518530181158</v>
      </c>
      <c r="AD452" s="702">
        <v>0.02</v>
      </c>
      <c r="AE452" s="512">
        <f t="shared" si="197"/>
        <v>15</v>
      </c>
      <c r="AF452" s="520">
        <v>15</v>
      </c>
      <c r="AH452" s="512">
        <v>17065</v>
      </c>
      <c r="AJ452" s="513">
        <v>106.23302983559877</v>
      </c>
      <c r="AK452" s="514">
        <v>105.1948604625895</v>
      </c>
      <c r="AL452" s="513">
        <v>104.86113485125321</v>
      </c>
      <c r="AM452" s="512">
        <v>12</v>
      </c>
      <c r="AN452" s="512">
        <v>1000000</v>
      </c>
      <c r="AO452" s="512">
        <v>0.12</v>
      </c>
      <c r="AP452" s="523">
        <f>AE452*AH452*AK452%*AM452/AN452*AO452</f>
        <v>0.38775246345952347</v>
      </c>
      <c r="AQ452" s="523">
        <f t="shared" si="209"/>
        <v>0.1775518530181158</v>
      </c>
      <c r="AR452" s="523">
        <f t="shared" si="210"/>
        <v>0.21020061044140767</v>
      </c>
      <c r="AS452" s="512">
        <v>0.18</v>
      </c>
      <c r="AT452" s="523">
        <f t="shared" si="208"/>
        <v>0.013283999999999997</v>
      </c>
    </row>
    <row r="453" spans="1:46" s="644" customFormat="1" ht="24.75" customHeight="1">
      <c r="A453" s="763"/>
      <c r="B453" s="742"/>
      <c r="C453" s="742"/>
      <c r="D453" s="647">
        <v>2015</v>
      </c>
      <c r="E453" s="650">
        <v>0</v>
      </c>
      <c r="F453" s="650">
        <v>0.181</v>
      </c>
      <c r="G453" s="634">
        <v>0</v>
      </c>
      <c r="H453" s="667"/>
      <c r="I453" s="650">
        <v>0</v>
      </c>
      <c r="J453" s="650">
        <v>0.181</v>
      </c>
      <c r="K453" s="634">
        <v>0</v>
      </c>
      <c r="L453" s="634"/>
      <c r="M453" s="634">
        <v>0</v>
      </c>
      <c r="N453" s="667"/>
      <c r="O453" s="634">
        <v>0</v>
      </c>
      <c r="P453" s="634"/>
      <c r="Q453" s="634">
        <v>0</v>
      </c>
      <c r="R453" s="634"/>
      <c r="S453" s="762"/>
      <c r="T453" s="762"/>
      <c r="U453" s="637">
        <v>16</v>
      </c>
      <c r="V453" s="636">
        <v>3</v>
      </c>
      <c r="W453" s="646">
        <f>SUM(Y453:AC453)</f>
        <v>0</v>
      </c>
      <c r="X453" s="646"/>
      <c r="Y453" s="646">
        <f>AT453</f>
        <v>0</v>
      </c>
      <c r="Z453" s="646"/>
      <c r="AA453" s="646">
        <f>AR453</f>
        <v>0</v>
      </c>
      <c r="AB453" s="646"/>
      <c r="AC453" s="646">
        <f>AQ453</f>
        <v>0</v>
      </c>
      <c r="AD453" s="701"/>
      <c r="AE453" s="638">
        <f aca="true" t="shared" si="232" ref="AE453:AE473">AF453+AG453</f>
        <v>0</v>
      </c>
      <c r="AF453" s="639">
        <v>0</v>
      </c>
      <c r="AG453" s="638"/>
      <c r="AH453" s="638">
        <v>17065</v>
      </c>
      <c r="AI453" s="638"/>
      <c r="AJ453" s="641">
        <v>106.23302983559877</v>
      </c>
      <c r="AK453" s="642">
        <v>105.1948604625895</v>
      </c>
      <c r="AL453" s="641">
        <v>104.86113485125321</v>
      </c>
      <c r="AM453" s="638">
        <v>12</v>
      </c>
      <c r="AN453" s="638">
        <v>1000000</v>
      </c>
      <c r="AO453" s="638">
        <v>0.12</v>
      </c>
      <c r="AP453" s="643">
        <f>AE453*AH453*AL453%*AM453/AN453*AO453</f>
        <v>0</v>
      </c>
      <c r="AQ453" s="643">
        <f t="shared" si="209"/>
        <v>0</v>
      </c>
      <c r="AR453" s="643">
        <f t="shared" si="210"/>
        <v>0</v>
      </c>
      <c r="AS453" s="638">
        <v>0.18</v>
      </c>
      <c r="AT453" s="643">
        <f t="shared" si="208"/>
        <v>0</v>
      </c>
    </row>
    <row r="454" spans="1:46" ht="24.75" customHeight="1">
      <c r="A454" s="763">
        <v>5</v>
      </c>
      <c r="B454" s="742" t="s">
        <v>610</v>
      </c>
      <c r="C454" s="742" t="s">
        <v>614</v>
      </c>
      <c r="D454" s="568" t="s">
        <v>273</v>
      </c>
      <c r="E454" s="578">
        <f>SUM(G454:Q454)</f>
        <v>0.093</v>
      </c>
      <c r="F454" s="578"/>
      <c r="G454" s="575">
        <f aca="true" t="shared" si="233" ref="G454:Q454">SUM(G455:G457)</f>
        <v>0</v>
      </c>
      <c r="H454" s="586"/>
      <c r="I454" s="578">
        <f t="shared" si="233"/>
        <v>0.093</v>
      </c>
      <c r="J454" s="578"/>
      <c r="K454" s="569">
        <f t="shared" si="233"/>
        <v>0</v>
      </c>
      <c r="L454" s="569"/>
      <c r="M454" s="569">
        <f t="shared" si="233"/>
        <v>0</v>
      </c>
      <c r="N454" s="586"/>
      <c r="O454" s="569">
        <f t="shared" si="233"/>
        <v>0</v>
      </c>
      <c r="P454" s="569"/>
      <c r="Q454" s="569">
        <f t="shared" si="233"/>
        <v>0</v>
      </c>
      <c r="R454" s="569"/>
      <c r="S454" s="762" t="s">
        <v>698</v>
      </c>
      <c r="T454" s="762" t="s">
        <v>827</v>
      </c>
      <c r="U454" s="493">
        <f>SUM(U455:U457)</f>
        <v>74</v>
      </c>
      <c r="V454" s="573"/>
      <c r="W454" s="577">
        <f>SUM(W455:W457)</f>
        <v>1.932395429861677</v>
      </c>
      <c r="X454" s="577"/>
      <c r="Y454" s="577">
        <f>SUM(Y455:Y457)</f>
        <v>0.010043999999999999</v>
      </c>
      <c r="Z454" s="577"/>
      <c r="AA454" s="577">
        <f>SUM(AA455:AA457)</f>
        <v>1.042106710128015</v>
      </c>
      <c r="AB454" s="577"/>
      <c r="AC454" s="577">
        <f>SUM(AC455:AC457)</f>
        <v>0.8802447197336618</v>
      </c>
      <c r="AD454" s="700"/>
      <c r="AF454" s="520"/>
      <c r="AH454" s="512">
        <v>17065</v>
      </c>
      <c r="AJ454" s="513">
        <v>106.23302983559877</v>
      </c>
      <c r="AK454" s="514">
        <v>105.1948604625895</v>
      </c>
      <c r="AL454" s="513">
        <v>104.86113485125321</v>
      </c>
      <c r="AM454" s="512">
        <v>12</v>
      </c>
      <c r="AN454" s="512">
        <v>1000000</v>
      </c>
      <c r="AO454" s="512">
        <v>0.12</v>
      </c>
      <c r="AP454" s="523">
        <f>AE454*AH454*AJ454%*AM454/AN454*AO454</f>
        <v>0</v>
      </c>
      <c r="AQ454" s="523">
        <f t="shared" si="209"/>
        <v>0</v>
      </c>
      <c r="AR454" s="523">
        <f t="shared" si="210"/>
        <v>0</v>
      </c>
      <c r="AS454" s="512">
        <v>0.18</v>
      </c>
      <c r="AT454" s="523">
        <f t="shared" si="208"/>
        <v>0.010043999999999999</v>
      </c>
    </row>
    <row r="455" spans="1:46" ht="24.75" customHeight="1">
      <c r="A455" s="763"/>
      <c r="B455" s="742"/>
      <c r="C455" s="742"/>
      <c r="D455" s="491">
        <v>2013</v>
      </c>
      <c r="E455" s="577">
        <f>G455+K455+M455+O455+Q455+I455</f>
        <v>0.052</v>
      </c>
      <c r="F455" s="578">
        <v>0.024</v>
      </c>
      <c r="G455" s="569">
        <v>0</v>
      </c>
      <c r="H455" s="586"/>
      <c r="I455" s="578">
        <v>0.052</v>
      </c>
      <c r="J455" s="578">
        <v>0.024</v>
      </c>
      <c r="K455" s="569">
        <v>0</v>
      </c>
      <c r="L455" s="569"/>
      <c r="M455" s="569">
        <v>0</v>
      </c>
      <c r="N455" s="586"/>
      <c r="O455" s="569">
        <v>0</v>
      </c>
      <c r="P455" s="569"/>
      <c r="Q455" s="569">
        <v>0</v>
      </c>
      <c r="R455" s="569"/>
      <c r="S455" s="762"/>
      <c r="T455" s="762"/>
      <c r="U455" s="493">
        <f>AE455</f>
        <v>37</v>
      </c>
      <c r="V455" s="573">
        <v>19</v>
      </c>
      <c r="W455" s="577">
        <f>Y455+AA455+AC455</f>
        <v>0.9715113533281858</v>
      </c>
      <c r="X455" s="577">
        <f>AB455+AD455</f>
        <v>0.2008</v>
      </c>
      <c r="Y455" s="577">
        <f>AT455</f>
        <v>0.0056159999999999995</v>
      </c>
      <c r="Z455" s="577"/>
      <c r="AA455" s="577">
        <f>AR455</f>
        <v>0.5236118710392096</v>
      </c>
      <c r="AB455" s="577">
        <v>0.109</v>
      </c>
      <c r="AC455" s="577">
        <f>AQ455</f>
        <v>0.4422834822889763</v>
      </c>
      <c r="AD455" s="586">
        <v>0.0918</v>
      </c>
      <c r="AE455" s="512">
        <f t="shared" si="232"/>
        <v>37</v>
      </c>
      <c r="AF455" s="520">
        <v>37</v>
      </c>
      <c r="AH455" s="512">
        <v>17065</v>
      </c>
      <c r="AJ455" s="513">
        <v>106.23302983559877</v>
      </c>
      <c r="AK455" s="514">
        <v>105.1948604625895</v>
      </c>
      <c r="AL455" s="513">
        <v>104.86113485125321</v>
      </c>
      <c r="AM455" s="512">
        <v>12</v>
      </c>
      <c r="AN455" s="512">
        <v>1000000</v>
      </c>
      <c r="AO455" s="512">
        <v>0.12</v>
      </c>
      <c r="AP455" s="523">
        <f>AE455*AH455*AJ455%*AM455/AN455*AO455</f>
        <v>0.9658953533281859</v>
      </c>
      <c r="AQ455" s="523">
        <f t="shared" si="209"/>
        <v>0.4422834822889763</v>
      </c>
      <c r="AR455" s="523">
        <f t="shared" si="210"/>
        <v>0.5236118710392096</v>
      </c>
      <c r="AS455" s="512">
        <v>0.18</v>
      </c>
      <c r="AT455" s="523">
        <f t="shared" si="208"/>
        <v>0.0056159999999999995</v>
      </c>
    </row>
    <row r="456" spans="1:46" ht="24.75" customHeight="1">
      <c r="A456" s="763"/>
      <c r="B456" s="742"/>
      <c r="C456" s="742"/>
      <c r="D456" s="491">
        <v>2014</v>
      </c>
      <c r="E456" s="578">
        <v>0.041</v>
      </c>
      <c r="F456" s="578">
        <v>0.012</v>
      </c>
      <c r="G456" s="569">
        <v>0</v>
      </c>
      <c r="H456" s="586"/>
      <c r="I456" s="578">
        <v>0.041</v>
      </c>
      <c r="J456" s="578">
        <v>0.012</v>
      </c>
      <c r="K456" s="569">
        <v>0</v>
      </c>
      <c r="L456" s="569"/>
      <c r="M456" s="569">
        <v>0</v>
      </c>
      <c r="N456" s="586"/>
      <c r="O456" s="569">
        <v>0</v>
      </c>
      <c r="P456" s="569"/>
      <c r="Q456" s="569">
        <v>0</v>
      </c>
      <c r="R456" s="569"/>
      <c r="S456" s="762"/>
      <c r="T456" s="762"/>
      <c r="U456" s="493">
        <f>AE456</f>
        <v>37</v>
      </c>
      <c r="V456" s="573">
        <v>6</v>
      </c>
      <c r="W456" s="577">
        <f>SUM(Y456:AC456)</f>
        <v>0.9608840765334911</v>
      </c>
      <c r="X456" s="577"/>
      <c r="Y456" s="577">
        <f>AT456</f>
        <v>0.004428</v>
      </c>
      <c r="Z456" s="577"/>
      <c r="AA456" s="577">
        <f>AR456</f>
        <v>0.5184948390888056</v>
      </c>
      <c r="AB456" s="577"/>
      <c r="AC456" s="577">
        <f>AQ456</f>
        <v>0.4379612374446855</v>
      </c>
      <c r="AD456" s="700"/>
      <c r="AE456" s="512">
        <f t="shared" si="232"/>
        <v>37</v>
      </c>
      <c r="AF456" s="520">
        <v>37</v>
      </c>
      <c r="AH456" s="512">
        <v>17065</v>
      </c>
      <c r="AJ456" s="513">
        <v>106.23302983559877</v>
      </c>
      <c r="AK456" s="514">
        <v>105.1948604625895</v>
      </c>
      <c r="AL456" s="513">
        <v>104.86113485125321</v>
      </c>
      <c r="AM456" s="512">
        <v>12</v>
      </c>
      <c r="AN456" s="512">
        <v>1000000</v>
      </c>
      <c r="AO456" s="512">
        <v>0.12</v>
      </c>
      <c r="AP456" s="523">
        <f>AE456*AH456*AK456%*AM456/AN456*AO456</f>
        <v>0.9564560765334911</v>
      </c>
      <c r="AQ456" s="523">
        <f t="shared" si="209"/>
        <v>0.4379612374446855</v>
      </c>
      <c r="AR456" s="523">
        <f t="shared" si="210"/>
        <v>0.5184948390888056</v>
      </c>
      <c r="AS456" s="512">
        <v>0.18</v>
      </c>
      <c r="AT456" s="523">
        <f t="shared" si="208"/>
        <v>0.004428</v>
      </c>
    </row>
    <row r="457" spans="1:46" s="644" customFormat="1" ht="45" customHeight="1">
      <c r="A457" s="763"/>
      <c r="B457" s="742"/>
      <c r="C457" s="742"/>
      <c r="D457" s="647">
        <v>2015</v>
      </c>
      <c r="E457" s="650">
        <v>0</v>
      </c>
      <c r="F457" s="650">
        <v>0.025</v>
      </c>
      <c r="G457" s="654">
        <v>0</v>
      </c>
      <c r="H457" s="667"/>
      <c r="I457" s="650">
        <v>0</v>
      </c>
      <c r="J457" s="650">
        <v>0.025</v>
      </c>
      <c r="K457" s="654">
        <v>0</v>
      </c>
      <c r="L457" s="654"/>
      <c r="M457" s="654">
        <v>0</v>
      </c>
      <c r="N457" s="667"/>
      <c r="O457" s="654">
        <v>0</v>
      </c>
      <c r="P457" s="654"/>
      <c r="Q457" s="654">
        <v>0</v>
      </c>
      <c r="R457" s="654"/>
      <c r="S457" s="762"/>
      <c r="T457" s="762"/>
      <c r="U457" s="637">
        <f>AE457</f>
        <v>0</v>
      </c>
      <c r="V457" s="636" t="s">
        <v>828</v>
      </c>
      <c r="W457" s="646">
        <f>SUM(Y457:AC457)</f>
        <v>0</v>
      </c>
      <c r="X457" s="646"/>
      <c r="Y457" s="646">
        <f>AT457</f>
        <v>0</v>
      </c>
      <c r="Z457" s="646"/>
      <c r="AA457" s="646">
        <f>AR457</f>
        <v>0</v>
      </c>
      <c r="AB457" s="646"/>
      <c r="AC457" s="646">
        <f>AQ457</f>
        <v>0</v>
      </c>
      <c r="AD457" s="701"/>
      <c r="AE457" s="638">
        <f t="shared" si="232"/>
        <v>0</v>
      </c>
      <c r="AF457" s="639">
        <v>0</v>
      </c>
      <c r="AG457" s="638"/>
      <c r="AH457" s="638">
        <v>17065</v>
      </c>
      <c r="AI457" s="638"/>
      <c r="AJ457" s="641">
        <v>106.23302983559877</v>
      </c>
      <c r="AK457" s="642">
        <v>105.1948604625895</v>
      </c>
      <c r="AL457" s="641">
        <v>104.86113485125321</v>
      </c>
      <c r="AM457" s="638">
        <v>12</v>
      </c>
      <c r="AN457" s="638">
        <v>1000000</v>
      </c>
      <c r="AO457" s="638">
        <v>0.12</v>
      </c>
      <c r="AP457" s="643">
        <f>AE457*AH457*AL457%*AM457/AN457*AO457</f>
        <v>0</v>
      </c>
      <c r="AQ457" s="643">
        <f t="shared" si="209"/>
        <v>0</v>
      </c>
      <c r="AR457" s="643">
        <f t="shared" si="210"/>
        <v>0</v>
      </c>
      <c r="AS457" s="638">
        <v>0.18</v>
      </c>
      <c r="AT457" s="643">
        <f t="shared" si="208"/>
        <v>0</v>
      </c>
    </row>
    <row r="458" spans="1:46" ht="24.75" customHeight="1">
      <c r="A458" s="763">
        <v>6</v>
      </c>
      <c r="B458" s="742" t="s">
        <v>611</v>
      </c>
      <c r="C458" s="742" t="s">
        <v>614</v>
      </c>
      <c r="D458" s="568" t="s">
        <v>273</v>
      </c>
      <c r="E458" s="578">
        <f>SUM(G458:Q458)</f>
        <v>2.7270000000000003</v>
      </c>
      <c r="F458" s="578"/>
      <c r="G458" s="569">
        <f aca="true" t="shared" si="234" ref="G458:Q458">SUM(G459:G461)</f>
        <v>0</v>
      </c>
      <c r="H458" s="586"/>
      <c r="I458" s="578">
        <f t="shared" si="234"/>
        <v>2.7270000000000003</v>
      </c>
      <c r="J458" s="578"/>
      <c r="K458" s="569">
        <f t="shared" si="234"/>
        <v>0</v>
      </c>
      <c r="L458" s="569"/>
      <c r="M458" s="569">
        <f t="shared" si="234"/>
        <v>0</v>
      </c>
      <c r="N458" s="586"/>
      <c r="O458" s="569">
        <f t="shared" si="234"/>
        <v>0</v>
      </c>
      <c r="P458" s="569"/>
      <c r="Q458" s="569">
        <f t="shared" si="234"/>
        <v>0</v>
      </c>
      <c r="R458" s="569"/>
      <c r="S458" s="762" t="s">
        <v>698</v>
      </c>
      <c r="T458" s="762" t="s">
        <v>869</v>
      </c>
      <c r="U458" s="493">
        <f>SUM(U459:U461)</f>
        <v>124</v>
      </c>
      <c r="V458" s="573"/>
      <c r="W458" s="577">
        <f>SUM(W459:W461)</f>
        <v>0.294516</v>
      </c>
      <c r="X458" s="577"/>
      <c r="Y458" s="577">
        <f>SUM(Y459:Y461)</f>
        <v>0.294516</v>
      </c>
      <c r="Z458" s="577"/>
      <c r="AA458" s="577">
        <f>SUM(AA459:AA461)</f>
        <v>0</v>
      </c>
      <c r="AB458" s="577"/>
      <c r="AC458" s="577">
        <f>SUM(AC459:AC461)</f>
        <v>0</v>
      </c>
      <c r="AD458" s="700"/>
      <c r="AF458" s="520"/>
      <c r="AH458" s="512">
        <v>17065</v>
      </c>
      <c r="AJ458" s="513">
        <v>106.23302983559877</v>
      </c>
      <c r="AK458" s="514">
        <v>105.1948604625895</v>
      </c>
      <c r="AL458" s="513">
        <v>104.86113485125321</v>
      </c>
      <c r="AM458" s="512">
        <v>12</v>
      </c>
      <c r="AN458" s="512">
        <v>1000000</v>
      </c>
      <c r="AO458" s="512">
        <v>0.12</v>
      </c>
      <c r="AP458" s="523">
        <f>AE458*AH458*AJ458%*AM458/AN458*AO458</f>
        <v>0</v>
      </c>
      <c r="AQ458" s="523">
        <f t="shared" si="209"/>
        <v>0</v>
      </c>
      <c r="AR458" s="523">
        <f t="shared" si="210"/>
        <v>0</v>
      </c>
      <c r="AS458" s="512">
        <v>0.18</v>
      </c>
      <c r="AT458" s="523">
        <f t="shared" si="208"/>
        <v>0.294516</v>
      </c>
    </row>
    <row r="459" spans="1:46" ht="24.75" customHeight="1">
      <c r="A459" s="763"/>
      <c r="B459" s="742"/>
      <c r="C459" s="742"/>
      <c r="D459" s="491">
        <v>2013</v>
      </c>
      <c r="E459" s="577">
        <f>G459+K459+M459+O459+Q459+I459</f>
        <v>1.429</v>
      </c>
      <c r="F459" s="578">
        <v>1.429</v>
      </c>
      <c r="G459" s="569">
        <v>0</v>
      </c>
      <c r="H459" s="586"/>
      <c r="I459" s="578">
        <v>1.429</v>
      </c>
      <c r="J459" s="578">
        <v>1.429</v>
      </c>
      <c r="K459" s="569">
        <v>0</v>
      </c>
      <c r="L459" s="569"/>
      <c r="M459" s="569">
        <v>0</v>
      </c>
      <c r="N459" s="586"/>
      <c r="O459" s="569">
        <v>0</v>
      </c>
      <c r="P459" s="569"/>
      <c r="Q459" s="569">
        <v>0</v>
      </c>
      <c r="R459" s="569"/>
      <c r="S459" s="762"/>
      <c r="T459" s="762"/>
      <c r="U459" s="493">
        <f>AE459</f>
        <v>0</v>
      </c>
      <c r="V459" s="573">
        <v>141</v>
      </c>
      <c r="W459" s="577">
        <f>SUM(Y459:AC459)</f>
        <v>0.154332</v>
      </c>
      <c r="X459" s="577"/>
      <c r="Y459" s="577">
        <f>AT459</f>
        <v>0.154332</v>
      </c>
      <c r="Z459" s="577"/>
      <c r="AA459" s="577">
        <f>AR459</f>
        <v>0</v>
      </c>
      <c r="AB459" s="577"/>
      <c r="AC459" s="577">
        <f>AQ459</f>
        <v>0</v>
      </c>
      <c r="AD459" s="700"/>
      <c r="AE459" s="512">
        <f t="shared" si="232"/>
        <v>0</v>
      </c>
      <c r="AF459" s="520">
        <v>0</v>
      </c>
      <c r="AH459" s="512">
        <v>17065</v>
      </c>
      <c r="AJ459" s="513">
        <v>106.23302983559877</v>
      </c>
      <c r="AK459" s="514">
        <v>105.1948604625895</v>
      </c>
      <c r="AL459" s="513">
        <v>104.86113485125321</v>
      </c>
      <c r="AM459" s="512">
        <v>12</v>
      </c>
      <c r="AN459" s="512">
        <v>1000000</v>
      </c>
      <c r="AO459" s="512">
        <v>0.12</v>
      </c>
      <c r="AP459" s="523">
        <f>AE459*AH459*AJ459%*AM459/AN459*AO459</f>
        <v>0</v>
      </c>
      <c r="AQ459" s="523">
        <f t="shared" si="209"/>
        <v>0</v>
      </c>
      <c r="AR459" s="523">
        <f t="shared" si="210"/>
        <v>0</v>
      </c>
      <c r="AS459" s="512">
        <v>0.18</v>
      </c>
      <c r="AT459" s="523">
        <f t="shared" si="208"/>
        <v>0.154332</v>
      </c>
    </row>
    <row r="460" spans="1:46" ht="24.75" customHeight="1">
      <c r="A460" s="763"/>
      <c r="B460" s="742"/>
      <c r="C460" s="742"/>
      <c r="D460" s="491">
        <v>2014</v>
      </c>
      <c r="E460" s="578">
        <v>1.298</v>
      </c>
      <c r="F460" s="578">
        <v>1.649</v>
      </c>
      <c r="G460" s="569">
        <v>0</v>
      </c>
      <c r="H460" s="586"/>
      <c r="I460" s="578">
        <v>1.298</v>
      </c>
      <c r="J460" s="578">
        <v>1.649</v>
      </c>
      <c r="K460" s="569">
        <v>0</v>
      </c>
      <c r="L460" s="569"/>
      <c r="M460" s="569">
        <v>0</v>
      </c>
      <c r="N460" s="586"/>
      <c r="O460" s="569">
        <v>0</v>
      </c>
      <c r="P460" s="569"/>
      <c r="Q460" s="569">
        <v>0</v>
      </c>
      <c r="R460" s="569"/>
      <c r="S460" s="762"/>
      <c r="T460" s="762"/>
      <c r="U460" s="493">
        <f>AE460</f>
        <v>0</v>
      </c>
      <c r="V460" s="573">
        <v>149</v>
      </c>
      <c r="W460" s="577">
        <f>SUM(Y460:AC460)</f>
        <v>0.140184</v>
      </c>
      <c r="X460" s="577"/>
      <c r="Y460" s="577">
        <f>AT460</f>
        <v>0.140184</v>
      </c>
      <c r="Z460" s="577"/>
      <c r="AA460" s="577">
        <f>AR460</f>
        <v>0</v>
      </c>
      <c r="AB460" s="577"/>
      <c r="AC460" s="577">
        <f>AQ460</f>
        <v>0</v>
      </c>
      <c r="AD460" s="700"/>
      <c r="AE460" s="512">
        <f t="shared" si="232"/>
        <v>0</v>
      </c>
      <c r="AF460" s="520">
        <v>0</v>
      </c>
      <c r="AH460" s="512">
        <v>17065</v>
      </c>
      <c r="AJ460" s="513">
        <v>106.23302983559877</v>
      </c>
      <c r="AK460" s="514">
        <v>105.1948604625895</v>
      </c>
      <c r="AL460" s="513">
        <v>104.86113485125321</v>
      </c>
      <c r="AM460" s="512">
        <v>12</v>
      </c>
      <c r="AN460" s="512">
        <v>1000000</v>
      </c>
      <c r="AO460" s="512">
        <v>0.12</v>
      </c>
      <c r="AP460" s="523">
        <f>AE460*AH460*AK460%*AM460/AN460*AO460</f>
        <v>0</v>
      </c>
      <c r="AQ460" s="523">
        <f t="shared" si="209"/>
        <v>0</v>
      </c>
      <c r="AR460" s="523">
        <f t="shared" si="210"/>
        <v>0</v>
      </c>
      <c r="AS460" s="512">
        <v>0.18</v>
      </c>
      <c r="AT460" s="523">
        <f t="shared" si="208"/>
        <v>0.140184</v>
      </c>
    </row>
    <row r="461" spans="1:46" s="644" customFormat="1" ht="102" customHeight="1">
      <c r="A461" s="763"/>
      <c r="B461" s="742"/>
      <c r="C461" s="742"/>
      <c r="D461" s="647">
        <v>2015</v>
      </c>
      <c r="E461" s="650">
        <v>0</v>
      </c>
      <c r="F461" s="650">
        <v>0.787</v>
      </c>
      <c r="G461" s="654">
        <v>0</v>
      </c>
      <c r="H461" s="667"/>
      <c r="I461" s="650">
        <v>0</v>
      </c>
      <c r="J461" s="650">
        <v>0.787</v>
      </c>
      <c r="K461" s="654">
        <v>0</v>
      </c>
      <c r="L461" s="654"/>
      <c r="M461" s="654">
        <v>0</v>
      </c>
      <c r="N461" s="667"/>
      <c r="O461" s="654">
        <v>0</v>
      </c>
      <c r="P461" s="654"/>
      <c r="Q461" s="654">
        <v>0</v>
      </c>
      <c r="R461" s="654"/>
      <c r="S461" s="762"/>
      <c r="T461" s="762"/>
      <c r="U461" s="637">
        <v>124</v>
      </c>
      <c r="V461" s="636" t="s">
        <v>845</v>
      </c>
      <c r="W461" s="646">
        <f>SUM(Y461:AC461)</f>
        <v>0</v>
      </c>
      <c r="X461" s="646"/>
      <c r="Y461" s="646">
        <f>AT461</f>
        <v>0</v>
      </c>
      <c r="Z461" s="646"/>
      <c r="AA461" s="646">
        <f>AR461</f>
        <v>0</v>
      </c>
      <c r="AB461" s="646"/>
      <c r="AC461" s="646">
        <f>AQ461</f>
        <v>0</v>
      </c>
      <c r="AD461" s="701"/>
      <c r="AE461" s="638">
        <f t="shared" si="232"/>
        <v>0</v>
      </c>
      <c r="AF461" s="639">
        <v>0</v>
      </c>
      <c r="AG461" s="638"/>
      <c r="AH461" s="638">
        <v>17065</v>
      </c>
      <c r="AI461" s="638"/>
      <c r="AJ461" s="641">
        <v>106.23302983559877</v>
      </c>
      <c r="AK461" s="642">
        <v>105.1948604625895</v>
      </c>
      <c r="AL461" s="641">
        <v>104.86113485125321</v>
      </c>
      <c r="AM461" s="638">
        <v>12</v>
      </c>
      <c r="AN461" s="638">
        <v>1000000</v>
      </c>
      <c r="AO461" s="638">
        <v>0.12</v>
      </c>
      <c r="AP461" s="643">
        <f>AE461*AH461*AL461%*AM461/AN461*AO461</f>
        <v>0</v>
      </c>
      <c r="AQ461" s="643">
        <f t="shared" si="209"/>
        <v>0</v>
      </c>
      <c r="AR461" s="643">
        <f t="shared" si="210"/>
        <v>0</v>
      </c>
      <c r="AS461" s="638">
        <v>0.18</v>
      </c>
      <c r="AT461" s="643">
        <f t="shared" si="208"/>
        <v>0</v>
      </c>
    </row>
    <row r="462" spans="1:46" ht="27" customHeight="1">
      <c r="A462" s="763">
        <v>7</v>
      </c>
      <c r="B462" s="742" t="s">
        <v>613</v>
      </c>
      <c r="C462" s="742" t="s">
        <v>614</v>
      </c>
      <c r="D462" s="568" t="s">
        <v>273</v>
      </c>
      <c r="E462" s="578">
        <f>SUM(G462:Q462)</f>
        <v>0.05</v>
      </c>
      <c r="F462" s="578"/>
      <c r="G462" s="575">
        <f aca="true" t="shared" si="235" ref="G462:Q462">SUM(G463:G465)</f>
        <v>0</v>
      </c>
      <c r="H462" s="586"/>
      <c r="I462" s="578">
        <f t="shared" si="235"/>
        <v>0.05</v>
      </c>
      <c r="J462" s="578"/>
      <c r="K462" s="569">
        <f t="shared" si="235"/>
        <v>0</v>
      </c>
      <c r="L462" s="569"/>
      <c r="M462" s="569">
        <f t="shared" si="235"/>
        <v>0</v>
      </c>
      <c r="N462" s="586"/>
      <c r="O462" s="569">
        <f t="shared" si="235"/>
        <v>0</v>
      </c>
      <c r="P462" s="569"/>
      <c r="Q462" s="569">
        <f t="shared" si="235"/>
        <v>0</v>
      </c>
      <c r="R462" s="569"/>
      <c r="S462" s="762" t="s">
        <v>698</v>
      </c>
      <c r="T462" s="762" t="s">
        <v>829</v>
      </c>
      <c r="U462" s="493">
        <f>SUM(U463:U465)</f>
        <v>0</v>
      </c>
      <c r="V462" s="573"/>
      <c r="W462" s="577">
        <f>SUM(W463:W465)</f>
        <v>0.005399999999999999</v>
      </c>
      <c r="X462" s="577"/>
      <c r="Y462" s="577">
        <f>SUM(Y463:Y465)</f>
        <v>0.005399999999999999</v>
      </c>
      <c r="Z462" s="577"/>
      <c r="AA462" s="577">
        <f>SUM(AA463:AA465)</f>
        <v>0</v>
      </c>
      <c r="AB462" s="577"/>
      <c r="AC462" s="577">
        <f>SUM(AC463:AC465)</f>
        <v>0</v>
      </c>
      <c r="AD462" s="700"/>
      <c r="AF462" s="520"/>
      <c r="AH462" s="512">
        <v>17065</v>
      </c>
      <c r="AJ462" s="513">
        <v>106.23302983559877</v>
      </c>
      <c r="AK462" s="514">
        <v>105.1948604625895</v>
      </c>
      <c r="AL462" s="513">
        <v>104.86113485125321</v>
      </c>
      <c r="AM462" s="512">
        <v>12</v>
      </c>
      <c r="AN462" s="512">
        <v>1000000</v>
      </c>
      <c r="AO462" s="512">
        <v>0.12</v>
      </c>
      <c r="AP462" s="523">
        <f>AE462*AH462*AJ462%*AM462/AN462*AO462</f>
        <v>0</v>
      </c>
      <c r="AQ462" s="523">
        <f t="shared" si="209"/>
        <v>0</v>
      </c>
      <c r="AR462" s="523">
        <f t="shared" si="210"/>
        <v>0</v>
      </c>
      <c r="AS462" s="512">
        <v>0.18</v>
      </c>
      <c r="AT462" s="523">
        <f t="shared" si="208"/>
        <v>0.005399999999999999</v>
      </c>
    </row>
    <row r="463" spans="1:46" ht="27" customHeight="1">
      <c r="A463" s="763"/>
      <c r="B463" s="742"/>
      <c r="C463" s="742"/>
      <c r="D463" s="567">
        <v>2013</v>
      </c>
      <c r="E463" s="577">
        <f>G463+K463+M463+O463+Q463+I463</f>
        <v>0.025</v>
      </c>
      <c r="F463" s="578">
        <v>0.025</v>
      </c>
      <c r="G463" s="569">
        <v>0</v>
      </c>
      <c r="H463" s="586"/>
      <c r="I463" s="578">
        <v>0.025</v>
      </c>
      <c r="J463" s="578">
        <v>0.025</v>
      </c>
      <c r="K463" s="569">
        <v>0</v>
      </c>
      <c r="L463" s="569"/>
      <c r="M463" s="569">
        <v>0</v>
      </c>
      <c r="N463" s="586"/>
      <c r="O463" s="569">
        <v>0</v>
      </c>
      <c r="P463" s="569"/>
      <c r="Q463" s="569">
        <v>0</v>
      </c>
      <c r="R463" s="569"/>
      <c r="S463" s="762"/>
      <c r="T463" s="762"/>
      <c r="U463" s="493">
        <f>AE463</f>
        <v>0</v>
      </c>
      <c r="V463" s="573">
        <v>793</v>
      </c>
      <c r="W463" s="577">
        <f>SUM(Y463:AC463)</f>
        <v>0.0026999999999999997</v>
      </c>
      <c r="X463" s="577"/>
      <c r="Y463" s="577">
        <f>AT463</f>
        <v>0.0026999999999999997</v>
      </c>
      <c r="Z463" s="577"/>
      <c r="AA463" s="577">
        <f>AR463</f>
        <v>0</v>
      </c>
      <c r="AB463" s="577"/>
      <c r="AC463" s="577">
        <f>AQ463</f>
        <v>0</v>
      </c>
      <c r="AD463" s="700"/>
      <c r="AE463" s="512">
        <f t="shared" si="232"/>
        <v>0</v>
      </c>
      <c r="AF463" s="520">
        <v>0</v>
      </c>
      <c r="AH463" s="512">
        <v>17065</v>
      </c>
      <c r="AJ463" s="513">
        <v>106.23302983559877</v>
      </c>
      <c r="AK463" s="514">
        <v>105.1948604625895</v>
      </c>
      <c r="AL463" s="513">
        <v>104.86113485125321</v>
      </c>
      <c r="AM463" s="512">
        <v>12</v>
      </c>
      <c r="AN463" s="512">
        <v>1000000</v>
      </c>
      <c r="AO463" s="512">
        <v>0.12</v>
      </c>
      <c r="AP463" s="523">
        <f>AE463*AH463*AJ463%*AM463/AN463*AO463</f>
        <v>0</v>
      </c>
      <c r="AQ463" s="523">
        <f t="shared" si="209"/>
        <v>0</v>
      </c>
      <c r="AR463" s="523">
        <f t="shared" si="210"/>
        <v>0</v>
      </c>
      <c r="AS463" s="512">
        <v>0.18</v>
      </c>
      <c r="AT463" s="523">
        <f t="shared" si="208"/>
        <v>0.0026999999999999997</v>
      </c>
    </row>
    <row r="464" spans="1:46" ht="27" customHeight="1">
      <c r="A464" s="763"/>
      <c r="B464" s="742"/>
      <c r="C464" s="742"/>
      <c r="D464" s="491">
        <v>2014</v>
      </c>
      <c r="E464" s="578">
        <v>0.025</v>
      </c>
      <c r="F464" s="578">
        <v>0.027</v>
      </c>
      <c r="G464" s="569">
        <v>0</v>
      </c>
      <c r="H464" s="586"/>
      <c r="I464" s="578">
        <v>0.025</v>
      </c>
      <c r="J464" s="578">
        <v>0.027</v>
      </c>
      <c r="K464" s="569">
        <v>0</v>
      </c>
      <c r="L464" s="569"/>
      <c r="M464" s="569">
        <v>0</v>
      </c>
      <c r="N464" s="586"/>
      <c r="O464" s="569">
        <v>0</v>
      </c>
      <c r="P464" s="569"/>
      <c r="Q464" s="569">
        <v>0</v>
      </c>
      <c r="R464" s="569"/>
      <c r="S464" s="762"/>
      <c r="T464" s="762"/>
      <c r="U464" s="493">
        <f>AE464</f>
        <v>0</v>
      </c>
      <c r="V464" s="573">
        <v>1173</v>
      </c>
      <c r="W464" s="577">
        <f>SUM(Y464:AC464)</f>
        <v>0.0026999999999999997</v>
      </c>
      <c r="X464" s="577"/>
      <c r="Y464" s="577">
        <f>AT464</f>
        <v>0.0026999999999999997</v>
      </c>
      <c r="Z464" s="577"/>
      <c r="AA464" s="577">
        <f>AR464</f>
        <v>0</v>
      </c>
      <c r="AB464" s="577"/>
      <c r="AC464" s="577">
        <f>AQ464</f>
        <v>0</v>
      </c>
      <c r="AD464" s="700"/>
      <c r="AE464" s="512">
        <f t="shared" si="232"/>
        <v>0</v>
      </c>
      <c r="AF464" s="520">
        <v>0</v>
      </c>
      <c r="AH464" s="512">
        <v>17065</v>
      </c>
      <c r="AJ464" s="513">
        <v>106.23302983559877</v>
      </c>
      <c r="AK464" s="514">
        <v>105.1948604625895</v>
      </c>
      <c r="AL464" s="513">
        <v>104.86113485125321</v>
      </c>
      <c r="AM464" s="512">
        <v>12</v>
      </c>
      <c r="AN464" s="512">
        <v>1000000</v>
      </c>
      <c r="AO464" s="512">
        <v>0.12</v>
      </c>
      <c r="AP464" s="523">
        <f>AE464*AH464*AK464%*AM464/AN464*AO464</f>
        <v>0</v>
      </c>
      <c r="AQ464" s="523">
        <f t="shared" si="209"/>
        <v>0</v>
      </c>
      <c r="AR464" s="523">
        <f t="shared" si="210"/>
        <v>0</v>
      </c>
      <c r="AS464" s="512">
        <v>0.18</v>
      </c>
      <c r="AT464" s="523">
        <f t="shared" si="208"/>
        <v>0.0026999999999999997</v>
      </c>
    </row>
    <row r="465" spans="1:46" s="644" customFormat="1" ht="33" customHeight="1">
      <c r="A465" s="763"/>
      <c r="B465" s="742"/>
      <c r="C465" s="742"/>
      <c r="D465" s="647">
        <v>2015</v>
      </c>
      <c r="E465" s="650">
        <v>0</v>
      </c>
      <c r="F465" s="650">
        <v>0.016</v>
      </c>
      <c r="G465" s="654">
        <v>0</v>
      </c>
      <c r="H465" s="667"/>
      <c r="I465" s="650">
        <v>0</v>
      </c>
      <c r="J465" s="650">
        <v>0.016</v>
      </c>
      <c r="K465" s="654">
        <v>0</v>
      </c>
      <c r="L465" s="654"/>
      <c r="M465" s="654">
        <v>0</v>
      </c>
      <c r="N465" s="667"/>
      <c r="O465" s="654">
        <v>0</v>
      </c>
      <c r="P465" s="654"/>
      <c r="Q465" s="654">
        <v>0</v>
      </c>
      <c r="R465" s="654"/>
      <c r="S465" s="762"/>
      <c r="T465" s="762"/>
      <c r="U465" s="637">
        <f>AE465</f>
        <v>0</v>
      </c>
      <c r="V465" s="636" t="s">
        <v>830</v>
      </c>
      <c r="W465" s="646">
        <f>SUM(Y465:AC465)</f>
        <v>0</v>
      </c>
      <c r="X465" s="646"/>
      <c r="Y465" s="646">
        <f>AT465</f>
        <v>0</v>
      </c>
      <c r="Z465" s="646"/>
      <c r="AA465" s="646">
        <f>AR465</f>
        <v>0</v>
      </c>
      <c r="AB465" s="646"/>
      <c r="AC465" s="646">
        <f>AQ465</f>
        <v>0</v>
      </c>
      <c r="AD465" s="701"/>
      <c r="AE465" s="638">
        <f t="shared" si="232"/>
        <v>0</v>
      </c>
      <c r="AF465" s="639">
        <v>0</v>
      </c>
      <c r="AG465" s="638"/>
      <c r="AH465" s="638">
        <v>17065</v>
      </c>
      <c r="AI465" s="638"/>
      <c r="AJ465" s="641">
        <v>106.23302983559877</v>
      </c>
      <c r="AK465" s="642">
        <v>105.1948604625895</v>
      </c>
      <c r="AL465" s="641">
        <v>104.86113485125321</v>
      </c>
      <c r="AM465" s="638">
        <v>12</v>
      </c>
      <c r="AN465" s="638">
        <v>1000000</v>
      </c>
      <c r="AO465" s="638">
        <v>0.12</v>
      </c>
      <c r="AP465" s="643">
        <f>AE465*AH465*AL465%*AM465/AN465*AO465</f>
        <v>0</v>
      </c>
      <c r="AQ465" s="643">
        <f t="shared" si="209"/>
        <v>0</v>
      </c>
      <c r="AR465" s="643">
        <f t="shared" si="210"/>
        <v>0</v>
      </c>
      <c r="AS465" s="638">
        <v>0.18</v>
      </c>
      <c r="AT465" s="643">
        <f t="shared" si="208"/>
        <v>0</v>
      </c>
    </row>
    <row r="466" spans="1:46" ht="27" customHeight="1">
      <c r="A466" s="763">
        <v>8</v>
      </c>
      <c r="B466" s="742" t="s">
        <v>657</v>
      </c>
      <c r="C466" s="742" t="s">
        <v>614</v>
      </c>
      <c r="D466" s="568" t="s">
        <v>273</v>
      </c>
      <c r="E466" s="578">
        <f>SUM(G466:Q466)</f>
        <v>0.006</v>
      </c>
      <c r="F466" s="578"/>
      <c r="G466" s="569">
        <f aca="true" t="shared" si="236" ref="G466:Q466">SUM(G467:G469)</f>
        <v>0</v>
      </c>
      <c r="H466" s="586"/>
      <c r="I466" s="578">
        <f t="shared" si="236"/>
        <v>0.006</v>
      </c>
      <c r="J466" s="578"/>
      <c r="K466" s="569">
        <f t="shared" si="236"/>
        <v>0</v>
      </c>
      <c r="L466" s="569"/>
      <c r="M466" s="569">
        <f t="shared" si="236"/>
        <v>0</v>
      </c>
      <c r="N466" s="586"/>
      <c r="O466" s="569">
        <f t="shared" si="236"/>
        <v>0</v>
      </c>
      <c r="P466" s="569"/>
      <c r="Q466" s="569">
        <f t="shared" si="236"/>
        <v>0</v>
      </c>
      <c r="R466" s="569"/>
      <c r="S466" s="762" t="s">
        <v>698</v>
      </c>
      <c r="T466" s="762" t="s">
        <v>831</v>
      </c>
      <c r="U466" s="493">
        <f>SUM(U467:U469)</f>
        <v>0</v>
      </c>
      <c r="V466" s="573"/>
      <c r="W466" s="577">
        <f>SUM(W467:W469)</f>
        <v>0.00032399999999999996</v>
      </c>
      <c r="X466" s="577"/>
      <c r="Y466" s="577">
        <f>SUM(Y467:Y469)</f>
        <v>0.00032399999999999996</v>
      </c>
      <c r="Z466" s="577"/>
      <c r="AA466" s="577">
        <f>SUM(AA467:AA469)</f>
        <v>0</v>
      </c>
      <c r="AB466" s="577"/>
      <c r="AC466" s="577">
        <f>SUM(AC467:AC469)</f>
        <v>0</v>
      </c>
      <c r="AD466" s="700"/>
      <c r="AF466" s="520"/>
      <c r="AH466" s="512">
        <v>17065</v>
      </c>
      <c r="AJ466" s="513">
        <v>106.23302983559877</v>
      </c>
      <c r="AK466" s="514">
        <v>105.1948604625895</v>
      </c>
      <c r="AL466" s="513">
        <v>104.86113485125321</v>
      </c>
      <c r="AM466" s="512">
        <v>12</v>
      </c>
      <c r="AN466" s="512">
        <v>1000000</v>
      </c>
      <c r="AO466" s="512">
        <v>0.12</v>
      </c>
      <c r="AP466" s="523">
        <f>AE466*AH466*AJ466%*AM466/AN466*AO466</f>
        <v>0</v>
      </c>
      <c r="AQ466" s="523">
        <f t="shared" si="209"/>
        <v>0</v>
      </c>
      <c r="AR466" s="523">
        <f t="shared" si="210"/>
        <v>0</v>
      </c>
      <c r="AS466" s="512">
        <v>0.18</v>
      </c>
      <c r="AT466" s="523">
        <f t="shared" si="208"/>
        <v>0.0006479999999999999</v>
      </c>
    </row>
    <row r="467" spans="1:46" ht="27" customHeight="1">
      <c r="A467" s="763"/>
      <c r="B467" s="742"/>
      <c r="C467" s="742"/>
      <c r="D467" s="567">
        <v>2013</v>
      </c>
      <c r="E467" s="577">
        <f>G467+K467+M467+O467+Q467+I467</f>
        <v>0.003</v>
      </c>
      <c r="F467" s="578">
        <v>0.003</v>
      </c>
      <c r="G467" s="569">
        <v>0</v>
      </c>
      <c r="H467" s="586"/>
      <c r="I467" s="578">
        <v>0.003</v>
      </c>
      <c r="J467" s="578">
        <v>0.003</v>
      </c>
      <c r="K467" s="569">
        <v>0</v>
      </c>
      <c r="L467" s="569"/>
      <c r="M467" s="569">
        <v>0</v>
      </c>
      <c r="N467" s="586"/>
      <c r="O467" s="569">
        <v>0</v>
      </c>
      <c r="P467" s="569"/>
      <c r="Q467" s="569">
        <v>0</v>
      </c>
      <c r="R467" s="569"/>
      <c r="S467" s="762"/>
      <c r="T467" s="762"/>
      <c r="U467" s="493">
        <f>AE467</f>
        <v>0</v>
      </c>
      <c r="V467" s="573">
        <v>56</v>
      </c>
      <c r="W467" s="577">
        <f>SUM(Y467:AC467)</f>
        <v>0.00032399999999999996</v>
      </c>
      <c r="X467" s="577"/>
      <c r="Y467" s="577">
        <f>AT467</f>
        <v>0.00032399999999999996</v>
      </c>
      <c r="Z467" s="577"/>
      <c r="AA467" s="577">
        <f>AR467</f>
        <v>0</v>
      </c>
      <c r="AB467" s="577"/>
      <c r="AC467" s="577">
        <f>AQ467</f>
        <v>0</v>
      </c>
      <c r="AD467" s="700"/>
      <c r="AE467" s="512">
        <f t="shared" si="232"/>
        <v>0</v>
      </c>
      <c r="AF467" s="520">
        <v>0</v>
      </c>
      <c r="AH467" s="512">
        <v>17065</v>
      </c>
      <c r="AJ467" s="513">
        <v>106.23302983559877</v>
      </c>
      <c r="AK467" s="514">
        <v>105.1948604625895</v>
      </c>
      <c r="AL467" s="513">
        <v>104.86113485125321</v>
      </c>
      <c r="AM467" s="512">
        <v>12</v>
      </c>
      <c r="AN467" s="512">
        <v>1000000</v>
      </c>
      <c r="AO467" s="512">
        <v>0.12</v>
      </c>
      <c r="AP467" s="523">
        <f>AE467*AH467*AJ467%*AM467/AN467*AO467</f>
        <v>0</v>
      </c>
      <c r="AQ467" s="523">
        <f t="shared" si="209"/>
        <v>0</v>
      </c>
      <c r="AR467" s="523">
        <f t="shared" si="210"/>
        <v>0</v>
      </c>
      <c r="AS467" s="512">
        <v>0.18</v>
      </c>
      <c r="AT467" s="523">
        <f t="shared" si="208"/>
        <v>0.00032399999999999996</v>
      </c>
    </row>
    <row r="468" spans="1:46" ht="27" customHeight="1">
      <c r="A468" s="763"/>
      <c r="B468" s="742"/>
      <c r="C468" s="742"/>
      <c r="D468" s="491">
        <v>2014</v>
      </c>
      <c r="E468" s="578">
        <v>0.003</v>
      </c>
      <c r="F468" s="578">
        <v>0.018</v>
      </c>
      <c r="G468" s="569">
        <v>0</v>
      </c>
      <c r="H468" s="586"/>
      <c r="I468" s="578">
        <v>0.003</v>
      </c>
      <c r="J468" s="578">
        <v>0.018</v>
      </c>
      <c r="K468" s="569">
        <v>0</v>
      </c>
      <c r="L468" s="569"/>
      <c r="M468" s="569">
        <v>0</v>
      </c>
      <c r="N468" s="586"/>
      <c r="O468" s="569">
        <v>0</v>
      </c>
      <c r="P468" s="569"/>
      <c r="Q468" s="569">
        <v>0</v>
      </c>
      <c r="R468" s="569"/>
      <c r="S468" s="762"/>
      <c r="T468" s="762"/>
      <c r="U468" s="493">
        <f>AE468</f>
        <v>0</v>
      </c>
      <c r="V468" s="573">
        <v>54</v>
      </c>
      <c r="W468" s="577">
        <v>0</v>
      </c>
      <c r="X468" s="577"/>
      <c r="Y468" s="577">
        <v>0</v>
      </c>
      <c r="Z468" s="577"/>
      <c r="AA468" s="577">
        <f>AR468</f>
        <v>0</v>
      </c>
      <c r="AB468" s="577"/>
      <c r="AC468" s="577">
        <f>AQ468</f>
        <v>0</v>
      </c>
      <c r="AD468" s="700"/>
      <c r="AE468" s="512">
        <f t="shared" si="232"/>
        <v>0</v>
      </c>
      <c r="AF468" s="520">
        <v>0</v>
      </c>
      <c r="AH468" s="512">
        <v>17065</v>
      </c>
      <c r="AJ468" s="513">
        <v>106.23302983559877</v>
      </c>
      <c r="AK468" s="514">
        <v>105.1948604625895</v>
      </c>
      <c r="AL468" s="513">
        <v>104.86113485125321</v>
      </c>
      <c r="AM468" s="512">
        <v>12</v>
      </c>
      <c r="AN468" s="512">
        <v>1000000</v>
      </c>
      <c r="AO468" s="512">
        <v>0.12</v>
      </c>
      <c r="AP468" s="523">
        <f>AE468*AH468*AK468%*AM468/AN468*AO468</f>
        <v>0</v>
      </c>
      <c r="AQ468" s="523">
        <f t="shared" si="209"/>
        <v>0</v>
      </c>
      <c r="AR468" s="523">
        <f t="shared" si="210"/>
        <v>0</v>
      </c>
      <c r="AS468" s="512">
        <v>0.18</v>
      </c>
      <c r="AT468" s="523">
        <f t="shared" si="208"/>
        <v>0.00032399999999999996</v>
      </c>
    </row>
    <row r="469" spans="1:46" s="644" customFormat="1" ht="38.25" customHeight="1">
      <c r="A469" s="763"/>
      <c r="B469" s="742"/>
      <c r="C469" s="742"/>
      <c r="D469" s="647">
        <v>2015</v>
      </c>
      <c r="E469" s="650">
        <v>0</v>
      </c>
      <c r="F469" s="650">
        <v>0.002</v>
      </c>
      <c r="G469" s="654">
        <v>0</v>
      </c>
      <c r="H469" s="667"/>
      <c r="I469" s="650">
        <v>0</v>
      </c>
      <c r="J469" s="650">
        <v>0.002</v>
      </c>
      <c r="K469" s="654">
        <v>0</v>
      </c>
      <c r="L469" s="654"/>
      <c r="M469" s="654">
        <v>0</v>
      </c>
      <c r="N469" s="667"/>
      <c r="O469" s="654">
        <v>0</v>
      </c>
      <c r="P469" s="654"/>
      <c r="Q469" s="654">
        <v>0</v>
      </c>
      <c r="R469" s="654"/>
      <c r="S469" s="762"/>
      <c r="T469" s="762"/>
      <c r="U469" s="637" t="s">
        <v>832</v>
      </c>
      <c r="V469" s="636" t="s">
        <v>833</v>
      </c>
      <c r="W469" s="646">
        <f>SUM(Y469:AC469)</f>
        <v>0</v>
      </c>
      <c r="X469" s="646"/>
      <c r="Y469" s="646">
        <f>AT469</f>
        <v>0</v>
      </c>
      <c r="Z469" s="646"/>
      <c r="AA469" s="646">
        <f>AR469</f>
        <v>0</v>
      </c>
      <c r="AB469" s="646"/>
      <c r="AC469" s="646">
        <f>AQ469</f>
        <v>0</v>
      </c>
      <c r="AD469" s="701"/>
      <c r="AE469" s="638">
        <f t="shared" si="232"/>
        <v>0</v>
      </c>
      <c r="AF469" s="639">
        <v>0</v>
      </c>
      <c r="AG469" s="638"/>
      <c r="AH469" s="638">
        <v>17065</v>
      </c>
      <c r="AI469" s="638"/>
      <c r="AJ469" s="641">
        <v>106.23302983559877</v>
      </c>
      <c r="AK469" s="642">
        <v>105.1948604625895</v>
      </c>
      <c r="AL469" s="641">
        <v>104.86113485125321</v>
      </c>
      <c r="AM469" s="638">
        <v>12</v>
      </c>
      <c r="AN469" s="638">
        <v>1000000</v>
      </c>
      <c r="AO469" s="638">
        <v>0.12</v>
      </c>
      <c r="AP469" s="643">
        <f>AE469*AH469*AL469%*AM469/AN469*AO469</f>
        <v>0</v>
      </c>
      <c r="AQ469" s="643">
        <f t="shared" si="209"/>
        <v>0</v>
      </c>
      <c r="AR469" s="643">
        <f t="shared" si="210"/>
        <v>0</v>
      </c>
      <c r="AS469" s="638">
        <v>0.18</v>
      </c>
      <c r="AT469" s="643">
        <f t="shared" si="208"/>
        <v>0</v>
      </c>
    </row>
    <row r="470" spans="1:46" ht="27" customHeight="1">
      <c r="A470" s="763">
        <v>9</v>
      </c>
      <c r="B470" s="742" t="s">
        <v>658</v>
      </c>
      <c r="C470" s="742" t="s">
        <v>614</v>
      </c>
      <c r="D470" s="568" t="s">
        <v>273</v>
      </c>
      <c r="E470" s="578">
        <f>SUM(G470:Q470)</f>
        <v>0.052000000000000005</v>
      </c>
      <c r="F470" s="578"/>
      <c r="G470" s="575">
        <f aca="true" t="shared" si="237" ref="G470:Q470">SUM(G471:G473)</f>
        <v>0</v>
      </c>
      <c r="H470" s="586"/>
      <c r="I470" s="578">
        <f t="shared" si="237"/>
        <v>0.052000000000000005</v>
      </c>
      <c r="J470" s="578"/>
      <c r="K470" s="569">
        <f t="shared" si="237"/>
        <v>0</v>
      </c>
      <c r="L470" s="569"/>
      <c r="M470" s="569">
        <f t="shared" si="237"/>
        <v>0</v>
      </c>
      <c r="N470" s="586"/>
      <c r="O470" s="569">
        <f t="shared" si="237"/>
        <v>0</v>
      </c>
      <c r="P470" s="569"/>
      <c r="Q470" s="569">
        <f t="shared" si="237"/>
        <v>0</v>
      </c>
      <c r="R470" s="569"/>
      <c r="S470" s="762" t="s">
        <v>698</v>
      </c>
      <c r="T470" s="762" t="s">
        <v>834</v>
      </c>
      <c r="U470" s="493">
        <f>SUM(U471:U473)</f>
        <v>13</v>
      </c>
      <c r="V470" s="573"/>
      <c r="W470" s="577">
        <f>SUM(W471:W473)</f>
        <v>0.0056159999999999995</v>
      </c>
      <c r="X470" s="577"/>
      <c r="Y470" s="577">
        <f>SUM(Y471:Y473)</f>
        <v>0.0056159999999999995</v>
      </c>
      <c r="Z470" s="577"/>
      <c r="AA470" s="577">
        <f>SUM(AA471:AA473)</f>
        <v>0</v>
      </c>
      <c r="AB470" s="577"/>
      <c r="AC470" s="577">
        <f>SUM(AC471:AC473)</f>
        <v>0</v>
      </c>
      <c r="AD470" s="700"/>
      <c r="AF470" s="520"/>
      <c r="AH470" s="512">
        <v>17065</v>
      </c>
      <c r="AJ470" s="513">
        <v>106.23302983559877</v>
      </c>
      <c r="AK470" s="514">
        <v>105.1948604625895</v>
      </c>
      <c r="AL470" s="513">
        <v>104.86113485125321</v>
      </c>
      <c r="AM470" s="512">
        <v>12</v>
      </c>
      <c r="AN470" s="512">
        <v>1000000</v>
      </c>
      <c r="AO470" s="512">
        <v>0.12</v>
      </c>
      <c r="AP470" s="523">
        <f>AE470*AH470*AJ470%*AM470/AN470*AO470</f>
        <v>0</v>
      </c>
      <c r="AQ470" s="523">
        <f t="shared" si="209"/>
        <v>0</v>
      </c>
      <c r="AR470" s="523">
        <f t="shared" si="210"/>
        <v>0</v>
      </c>
      <c r="AS470" s="512">
        <v>0.18</v>
      </c>
      <c r="AT470" s="523">
        <f>E470*0.6*AS470</f>
        <v>0.005616</v>
      </c>
    </row>
    <row r="471" spans="1:46" ht="27" customHeight="1">
      <c r="A471" s="763"/>
      <c r="B471" s="742"/>
      <c r="C471" s="742"/>
      <c r="D471" s="568">
        <v>2013</v>
      </c>
      <c r="E471" s="577">
        <f>G471+K471+M471+O471+Q471+I471</f>
        <v>0.032</v>
      </c>
      <c r="F471" s="578">
        <v>0.032</v>
      </c>
      <c r="G471" s="569">
        <v>0</v>
      </c>
      <c r="H471" s="586"/>
      <c r="I471" s="578">
        <v>0.032</v>
      </c>
      <c r="J471" s="578">
        <v>0.032</v>
      </c>
      <c r="K471" s="569">
        <v>0</v>
      </c>
      <c r="L471" s="569"/>
      <c r="M471" s="569">
        <v>0</v>
      </c>
      <c r="N471" s="586"/>
      <c r="O471" s="569">
        <v>0</v>
      </c>
      <c r="P471" s="569"/>
      <c r="Q471" s="569">
        <v>0</v>
      </c>
      <c r="R471" s="569"/>
      <c r="S471" s="762"/>
      <c r="T471" s="762"/>
      <c r="U471" s="493">
        <f>AE471</f>
        <v>0</v>
      </c>
      <c r="V471" s="573">
        <v>13</v>
      </c>
      <c r="W471" s="577">
        <f>SUM(Y471:AC471)</f>
        <v>0.0034559999999999994</v>
      </c>
      <c r="X471" s="577"/>
      <c r="Y471" s="577">
        <f>AT471</f>
        <v>0.0034559999999999994</v>
      </c>
      <c r="Z471" s="577"/>
      <c r="AA471" s="577">
        <f>AR471</f>
        <v>0</v>
      </c>
      <c r="AB471" s="577"/>
      <c r="AC471" s="577">
        <f>AQ471</f>
        <v>0</v>
      </c>
      <c r="AD471" s="700"/>
      <c r="AE471" s="512">
        <f t="shared" si="232"/>
        <v>0</v>
      </c>
      <c r="AF471" s="520">
        <v>0</v>
      </c>
      <c r="AH471" s="512">
        <v>17065</v>
      </c>
      <c r="AJ471" s="513">
        <v>106.23302983559877</v>
      </c>
      <c r="AK471" s="514">
        <v>105.1948604625895</v>
      </c>
      <c r="AL471" s="513">
        <v>104.86113485125321</v>
      </c>
      <c r="AM471" s="512">
        <v>12</v>
      </c>
      <c r="AN471" s="512">
        <v>1000000</v>
      </c>
      <c r="AO471" s="512">
        <v>0.12</v>
      </c>
      <c r="AP471" s="523">
        <f>AE471*AH471*AJ471%*AM471/AN471*AO471</f>
        <v>0</v>
      </c>
      <c r="AQ471" s="523">
        <f>AP471*0.4579</f>
        <v>0</v>
      </c>
      <c r="AR471" s="523">
        <f>AP471-AQ471</f>
        <v>0</v>
      </c>
      <c r="AS471" s="512">
        <v>0.18</v>
      </c>
      <c r="AT471" s="523">
        <f>E471*0.6*AS471</f>
        <v>0.0034559999999999994</v>
      </c>
    </row>
    <row r="472" spans="1:46" ht="27" customHeight="1">
      <c r="A472" s="763"/>
      <c r="B472" s="742"/>
      <c r="C472" s="742"/>
      <c r="D472" s="491">
        <v>2014</v>
      </c>
      <c r="E472" s="578">
        <v>0.02</v>
      </c>
      <c r="F472" s="578">
        <v>0.025</v>
      </c>
      <c r="G472" s="569">
        <v>0</v>
      </c>
      <c r="H472" s="586"/>
      <c r="I472" s="578">
        <v>0.02</v>
      </c>
      <c r="J472" s="578">
        <v>0.025</v>
      </c>
      <c r="K472" s="569">
        <v>0</v>
      </c>
      <c r="L472" s="569"/>
      <c r="M472" s="569">
        <v>0</v>
      </c>
      <c r="N472" s="586"/>
      <c r="O472" s="569">
        <v>0</v>
      </c>
      <c r="P472" s="569"/>
      <c r="Q472" s="569">
        <v>0</v>
      </c>
      <c r="R472" s="569"/>
      <c r="S472" s="762"/>
      <c r="T472" s="762"/>
      <c r="U472" s="493">
        <f>AE472</f>
        <v>0</v>
      </c>
      <c r="V472" s="573">
        <v>12</v>
      </c>
      <c r="W472" s="577">
        <f>SUM(Y472:AC472)</f>
        <v>0.00216</v>
      </c>
      <c r="X472" s="577"/>
      <c r="Y472" s="577">
        <f>AT472</f>
        <v>0.00216</v>
      </c>
      <c r="Z472" s="577"/>
      <c r="AA472" s="577">
        <f>AR472</f>
        <v>0</v>
      </c>
      <c r="AB472" s="577"/>
      <c r="AC472" s="577">
        <f>AQ472</f>
        <v>0</v>
      </c>
      <c r="AD472" s="700"/>
      <c r="AE472" s="512">
        <f t="shared" si="232"/>
        <v>0</v>
      </c>
      <c r="AF472" s="520">
        <v>0</v>
      </c>
      <c r="AH472" s="512">
        <v>17065</v>
      </c>
      <c r="AJ472" s="513">
        <v>106.23302983559877</v>
      </c>
      <c r="AK472" s="514">
        <v>105.1948604625895</v>
      </c>
      <c r="AL472" s="513">
        <v>104.86113485125321</v>
      </c>
      <c r="AM472" s="512">
        <v>12</v>
      </c>
      <c r="AN472" s="512">
        <v>1000000</v>
      </c>
      <c r="AO472" s="512">
        <v>0.12</v>
      </c>
      <c r="AP472" s="523">
        <f>AE472*AH472*AK472%*AM472/AN472*AO472</f>
        <v>0</v>
      </c>
      <c r="AQ472" s="523">
        <f>AP472*0.4579</f>
        <v>0</v>
      </c>
      <c r="AR472" s="523">
        <f>AP472-AQ472</f>
        <v>0</v>
      </c>
      <c r="AS472" s="512">
        <v>0.18</v>
      </c>
      <c r="AT472" s="523">
        <f>E472*0.6*AS472</f>
        <v>0.00216</v>
      </c>
    </row>
    <row r="473" spans="1:46" s="644" customFormat="1" ht="27" customHeight="1">
      <c r="A473" s="763"/>
      <c r="B473" s="742"/>
      <c r="C473" s="742"/>
      <c r="D473" s="647">
        <v>2015</v>
      </c>
      <c r="E473" s="650">
        <v>0</v>
      </c>
      <c r="F473" s="650">
        <v>0.022</v>
      </c>
      <c r="G473" s="654">
        <v>0</v>
      </c>
      <c r="H473" s="667"/>
      <c r="I473" s="650">
        <v>0</v>
      </c>
      <c r="J473" s="650">
        <v>0.022</v>
      </c>
      <c r="K473" s="654">
        <v>0</v>
      </c>
      <c r="L473" s="654"/>
      <c r="M473" s="654">
        <v>0</v>
      </c>
      <c r="N473" s="667"/>
      <c r="O473" s="654">
        <v>0</v>
      </c>
      <c r="P473" s="654"/>
      <c r="Q473" s="654">
        <v>0</v>
      </c>
      <c r="R473" s="654"/>
      <c r="S473" s="762"/>
      <c r="T473" s="762"/>
      <c r="U473" s="637">
        <v>13</v>
      </c>
      <c r="V473" s="636" t="s">
        <v>868</v>
      </c>
      <c r="W473" s="646">
        <f>SUM(Y473:AC473)</f>
        <v>0</v>
      </c>
      <c r="X473" s="646"/>
      <c r="Y473" s="646">
        <f>AT473</f>
        <v>0</v>
      </c>
      <c r="Z473" s="646"/>
      <c r="AA473" s="646">
        <f>AR473</f>
        <v>0</v>
      </c>
      <c r="AB473" s="646"/>
      <c r="AC473" s="646">
        <f>AQ473</f>
        <v>0</v>
      </c>
      <c r="AD473" s="701"/>
      <c r="AE473" s="638">
        <f t="shared" si="232"/>
        <v>0</v>
      </c>
      <c r="AF473" s="639">
        <v>0</v>
      </c>
      <c r="AG473" s="638"/>
      <c r="AH473" s="638">
        <v>17065</v>
      </c>
      <c r="AI473" s="638"/>
      <c r="AJ473" s="641">
        <v>106.23302983559877</v>
      </c>
      <c r="AK473" s="642">
        <v>105.1948604625895</v>
      </c>
      <c r="AL473" s="641">
        <v>104.86113485125321</v>
      </c>
      <c r="AM473" s="638">
        <v>12</v>
      </c>
      <c r="AN473" s="638">
        <v>1000000</v>
      </c>
      <c r="AO473" s="638">
        <v>0.12</v>
      </c>
      <c r="AP473" s="643">
        <f>AE473*AH473*AL473%*AM473/AN473*AO473</f>
        <v>0</v>
      </c>
      <c r="AQ473" s="643">
        <f>AP473*0.4579</f>
        <v>0</v>
      </c>
      <c r="AR473" s="643">
        <f>AP473-AQ473</f>
        <v>0</v>
      </c>
      <c r="AS473" s="638">
        <v>0.18</v>
      </c>
      <c r="AT473" s="643">
        <f>E473*0.6*AS473</f>
        <v>0</v>
      </c>
    </row>
    <row r="474" spans="1:46" s="502" customFormat="1" ht="18" customHeight="1">
      <c r="A474" s="544"/>
      <c r="B474" s="545"/>
      <c r="C474" s="545"/>
      <c r="D474" s="544"/>
      <c r="E474" s="652"/>
      <c r="F474" s="652"/>
      <c r="G474" s="546"/>
      <c r="H474" s="688"/>
      <c r="I474" s="652"/>
      <c r="J474" s="652"/>
      <c r="K474" s="543"/>
      <c r="L474" s="543"/>
      <c r="M474" s="543"/>
      <c r="N474" s="688"/>
      <c r="O474" s="543"/>
      <c r="P474" s="543"/>
      <c r="Q474" s="543"/>
      <c r="R474" s="543"/>
      <c r="S474" s="547"/>
      <c r="T474" s="547"/>
      <c r="U474" s="547"/>
      <c r="V474" s="547"/>
      <c r="W474" s="726"/>
      <c r="X474" s="726"/>
      <c r="Y474" s="726"/>
      <c r="Z474" s="726"/>
      <c r="AA474" s="726"/>
      <c r="AB474" s="726"/>
      <c r="AC474" s="726"/>
      <c r="AD474" s="709"/>
      <c r="AE474" s="512"/>
      <c r="AF474" s="512"/>
      <c r="AG474" s="512"/>
      <c r="AH474" s="512"/>
      <c r="AI474" s="512"/>
      <c r="AJ474" s="512"/>
      <c r="AK474" s="512"/>
      <c r="AL474" s="512"/>
      <c r="AM474" s="512"/>
      <c r="AN474" s="512"/>
      <c r="AO474" s="512"/>
      <c r="AP474" s="511"/>
      <c r="AQ474" s="511"/>
      <c r="AR474" s="511"/>
      <c r="AS474" s="512"/>
      <c r="AT474" s="511"/>
    </row>
    <row r="475" spans="1:46" s="502" customFormat="1" ht="18" customHeight="1">
      <c r="A475" s="544"/>
      <c r="B475" s="548" t="s">
        <v>655</v>
      </c>
      <c r="C475" s="545"/>
      <c r="D475" s="544"/>
      <c r="E475" s="652"/>
      <c r="F475" s="652"/>
      <c r="G475" s="546"/>
      <c r="H475" s="688"/>
      <c r="I475" s="652"/>
      <c r="J475" s="652"/>
      <c r="K475" s="543"/>
      <c r="L475" s="543"/>
      <c r="M475" s="543"/>
      <c r="N475" s="688"/>
      <c r="O475" s="543"/>
      <c r="P475" s="543"/>
      <c r="Q475" s="543"/>
      <c r="R475" s="543"/>
      <c r="S475" s="547"/>
      <c r="T475" s="547"/>
      <c r="U475" s="547"/>
      <c r="V475" s="547"/>
      <c r="W475" s="726"/>
      <c r="X475" s="726"/>
      <c r="Y475" s="726"/>
      <c r="Z475" s="726"/>
      <c r="AA475" s="726"/>
      <c r="AB475" s="726"/>
      <c r="AC475" s="726"/>
      <c r="AD475" s="709"/>
      <c r="AE475" s="512"/>
      <c r="AF475" s="512"/>
      <c r="AG475" s="512"/>
      <c r="AH475" s="512"/>
      <c r="AI475" s="512"/>
      <c r="AJ475" s="512"/>
      <c r="AK475" s="512"/>
      <c r="AL475" s="512"/>
      <c r="AM475" s="512"/>
      <c r="AN475" s="512"/>
      <c r="AO475" s="512"/>
      <c r="AP475" s="511"/>
      <c r="AQ475" s="511"/>
      <c r="AR475" s="511"/>
      <c r="AS475" s="512"/>
      <c r="AT475" s="511"/>
    </row>
    <row r="476" spans="1:46" s="502" customFormat="1" ht="18" customHeight="1">
      <c r="A476" s="544" t="s">
        <v>434</v>
      </c>
      <c r="B476" s="794" t="s">
        <v>604</v>
      </c>
      <c r="C476" s="794"/>
      <c r="D476" s="794"/>
      <c r="E476" s="794"/>
      <c r="F476" s="794"/>
      <c r="G476" s="794"/>
      <c r="H476" s="794"/>
      <c r="I476" s="794"/>
      <c r="J476" s="794"/>
      <c r="K476" s="794"/>
      <c r="L476" s="794"/>
      <c r="M476" s="794"/>
      <c r="N476" s="794"/>
      <c r="O476" s="794"/>
      <c r="P476" s="794"/>
      <c r="Q476" s="794"/>
      <c r="R476" s="794"/>
      <c r="S476" s="794"/>
      <c r="T476" s="794"/>
      <c r="U476" s="794"/>
      <c r="V476" s="794"/>
      <c r="W476" s="794"/>
      <c r="X476" s="794"/>
      <c r="Y476" s="794"/>
      <c r="Z476" s="794"/>
      <c r="AA476" s="794"/>
      <c r="AB476" s="653"/>
      <c r="AC476" s="726"/>
      <c r="AD476" s="709"/>
      <c r="AE476" s="512"/>
      <c r="AF476" s="512"/>
      <c r="AG476" s="512"/>
      <c r="AH476" s="512"/>
      <c r="AI476" s="512"/>
      <c r="AJ476" s="512"/>
      <c r="AK476" s="512"/>
      <c r="AL476" s="512"/>
      <c r="AM476" s="512"/>
      <c r="AN476" s="512"/>
      <c r="AO476" s="512"/>
      <c r="AP476" s="511"/>
      <c r="AQ476" s="511"/>
      <c r="AR476" s="511"/>
      <c r="AS476" s="512"/>
      <c r="AT476" s="511"/>
    </row>
    <row r="477" spans="1:46" s="502" customFormat="1" ht="18" customHeight="1">
      <c r="A477" s="544" t="s">
        <v>15</v>
      </c>
      <c r="B477" s="794" t="s">
        <v>521</v>
      </c>
      <c r="C477" s="794"/>
      <c r="D477" s="794"/>
      <c r="E477" s="794"/>
      <c r="F477" s="794"/>
      <c r="G477" s="794"/>
      <c r="H477" s="794"/>
      <c r="I477" s="794"/>
      <c r="J477" s="794"/>
      <c r="K477" s="794"/>
      <c r="L477" s="794"/>
      <c r="M477" s="794"/>
      <c r="N477" s="794"/>
      <c r="O477" s="794"/>
      <c r="P477" s="794"/>
      <c r="Q477" s="794"/>
      <c r="R477" s="794"/>
      <c r="S477" s="794"/>
      <c r="T477" s="794"/>
      <c r="U477" s="794"/>
      <c r="V477" s="794"/>
      <c r="W477" s="794"/>
      <c r="X477" s="794"/>
      <c r="Y477" s="794"/>
      <c r="Z477" s="794"/>
      <c r="AA477" s="794"/>
      <c r="AB477" s="653"/>
      <c r="AC477" s="726"/>
      <c r="AD477" s="709"/>
      <c r="AE477" s="512"/>
      <c r="AF477" s="512"/>
      <c r="AG477" s="512"/>
      <c r="AH477" s="512"/>
      <c r="AI477" s="512"/>
      <c r="AJ477" s="512"/>
      <c r="AK477" s="512"/>
      <c r="AL477" s="512"/>
      <c r="AM477" s="512"/>
      <c r="AN477" s="512"/>
      <c r="AO477" s="512"/>
      <c r="AP477" s="511"/>
      <c r="AQ477" s="511"/>
      <c r="AR477" s="511"/>
      <c r="AS477" s="512"/>
      <c r="AT477" s="511"/>
    </row>
    <row r="478" spans="1:46" s="502" customFormat="1" ht="18" customHeight="1" hidden="1">
      <c r="A478" s="544" t="s">
        <v>434</v>
      </c>
      <c r="B478" s="794" t="s">
        <v>17</v>
      </c>
      <c r="C478" s="794"/>
      <c r="D478" s="794"/>
      <c r="E478" s="794"/>
      <c r="F478" s="794"/>
      <c r="G478" s="794"/>
      <c r="H478" s="794"/>
      <c r="I478" s="794"/>
      <c r="J478" s="794"/>
      <c r="K478" s="794"/>
      <c r="L478" s="794"/>
      <c r="M478" s="794"/>
      <c r="N478" s="794"/>
      <c r="O478" s="794"/>
      <c r="P478" s="794"/>
      <c r="Q478" s="794"/>
      <c r="R478" s="794"/>
      <c r="S478" s="794"/>
      <c r="T478" s="794"/>
      <c r="U478" s="794"/>
      <c r="V478" s="794"/>
      <c r="W478" s="794"/>
      <c r="X478" s="794"/>
      <c r="Y478" s="794"/>
      <c r="Z478" s="794"/>
      <c r="AA478" s="794"/>
      <c r="AB478" s="653"/>
      <c r="AC478" s="726"/>
      <c r="AD478" s="709"/>
      <c r="AE478" s="512"/>
      <c r="AF478" s="512"/>
      <c r="AG478" s="512"/>
      <c r="AH478" s="512"/>
      <c r="AI478" s="512"/>
      <c r="AJ478" s="512"/>
      <c r="AK478" s="512"/>
      <c r="AL478" s="512"/>
      <c r="AM478" s="512"/>
      <c r="AN478" s="512"/>
      <c r="AO478" s="512"/>
      <c r="AP478" s="511"/>
      <c r="AQ478" s="511"/>
      <c r="AR478" s="511"/>
      <c r="AS478" s="512"/>
      <c r="AT478" s="511"/>
    </row>
    <row r="479" spans="1:37" ht="18.75" customHeight="1">
      <c r="A479" s="545" t="s">
        <v>603</v>
      </c>
      <c r="B479" s="794" t="s">
        <v>16</v>
      </c>
      <c r="C479" s="794"/>
      <c r="D479" s="794"/>
      <c r="E479" s="794"/>
      <c r="F479" s="794"/>
      <c r="G479" s="794"/>
      <c r="H479" s="794"/>
      <c r="I479" s="794"/>
      <c r="J479" s="794"/>
      <c r="K479" s="794"/>
      <c r="L479" s="794"/>
      <c r="M479" s="794"/>
      <c r="N479" s="794"/>
      <c r="O479" s="794"/>
      <c r="P479" s="794"/>
      <c r="Q479" s="794"/>
      <c r="R479" s="794"/>
      <c r="S479" s="794"/>
      <c r="T479" s="794"/>
      <c r="U479" s="794"/>
      <c r="V479" s="794"/>
      <c r="W479" s="794"/>
      <c r="X479" s="794"/>
      <c r="Y479" s="794"/>
      <c r="Z479" s="794"/>
      <c r="AA479" s="794"/>
      <c r="AB479" s="653"/>
      <c r="AC479" s="653"/>
      <c r="AD479" s="709"/>
      <c r="AK479" s="512"/>
    </row>
    <row r="480" spans="1:37" ht="15.75" customHeight="1">
      <c r="A480" s="504" t="s">
        <v>616</v>
      </c>
      <c r="B480" s="794" t="s">
        <v>617</v>
      </c>
      <c r="C480" s="794"/>
      <c r="D480" s="794"/>
      <c r="E480" s="794"/>
      <c r="F480" s="794"/>
      <c r="G480" s="794"/>
      <c r="H480" s="794"/>
      <c r="I480" s="794"/>
      <c r="J480" s="794"/>
      <c r="K480" s="794"/>
      <c r="L480" s="794"/>
      <c r="M480" s="794"/>
      <c r="N480" s="794"/>
      <c r="O480" s="794"/>
      <c r="P480" s="794"/>
      <c r="Q480" s="794"/>
      <c r="R480" s="794"/>
      <c r="S480" s="794"/>
      <c r="T480" s="794"/>
      <c r="U480" s="794"/>
      <c r="V480" s="794"/>
      <c r="W480" s="794"/>
      <c r="X480" s="794"/>
      <c r="Y480" s="794"/>
      <c r="Z480" s="794"/>
      <c r="AA480" s="794"/>
      <c r="AB480" s="653"/>
      <c r="AC480" s="727"/>
      <c r="AD480" s="709"/>
      <c r="AK480" s="512"/>
    </row>
    <row r="481" spans="2:30" ht="15.75" customHeight="1">
      <c r="B481" s="548"/>
      <c r="C481" s="548"/>
      <c r="D481" s="548"/>
      <c r="E481" s="653"/>
      <c r="F481" s="653"/>
      <c r="G481" s="548"/>
      <c r="H481" s="689"/>
      <c r="I481" s="653"/>
      <c r="J481" s="653"/>
      <c r="K481" s="548"/>
      <c r="L481" s="548"/>
      <c r="M481" s="548"/>
      <c r="N481" s="689"/>
      <c r="O481" s="548"/>
      <c r="P481" s="548"/>
      <c r="Q481" s="548"/>
      <c r="R481" s="548"/>
      <c r="S481" s="548"/>
      <c r="T481" s="548"/>
      <c r="U481" s="548"/>
      <c r="V481" s="548"/>
      <c r="W481" s="653"/>
      <c r="X481" s="653"/>
      <c r="Y481" s="653"/>
      <c r="Z481" s="653"/>
      <c r="AA481" s="653"/>
      <c r="AB481" s="653"/>
      <c r="AC481" s="727"/>
      <c r="AD481" s="709"/>
    </row>
    <row r="482" ht="15.75">
      <c r="AD482" s="709"/>
    </row>
    <row r="483" spans="1:30" s="503" customFormat="1" ht="79.5" customHeight="1">
      <c r="A483" s="734" t="s">
        <v>797</v>
      </c>
      <c r="B483" s="734"/>
      <c r="C483" s="734"/>
      <c r="D483" s="734"/>
      <c r="E483" s="734"/>
      <c r="F483" s="735"/>
      <c r="G483" s="735"/>
      <c r="H483" s="735"/>
      <c r="I483" s="718"/>
      <c r="J483" s="694"/>
      <c r="K483" s="550"/>
      <c r="L483" s="550"/>
      <c r="M483" s="550"/>
      <c r="N483" s="690"/>
      <c r="O483" s="550"/>
      <c r="P483" s="550"/>
      <c r="Q483" s="550"/>
      <c r="R483" s="550"/>
      <c r="S483" s="551"/>
      <c r="T483" s="551" t="s">
        <v>798</v>
      </c>
      <c r="U483" s="551"/>
      <c r="V483" s="551"/>
      <c r="W483" s="729"/>
      <c r="X483" s="729"/>
      <c r="Y483" s="729"/>
      <c r="Z483" s="729"/>
      <c r="AA483" s="730"/>
      <c r="AB483" s="730"/>
      <c r="AC483" s="718"/>
      <c r="AD483" s="710"/>
    </row>
  </sheetData>
  <sheetProtection/>
  <mergeCells count="593">
    <mergeCell ref="C245:C248"/>
    <mergeCell ref="B156:B159"/>
    <mergeCell ref="C156:C159"/>
    <mergeCell ref="B476:AA476"/>
    <mergeCell ref="A462:A465"/>
    <mergeCell ref="A442:A445"/>
    <mergeCell ref="T391:T394"/>
    <mergeCell ref="B391:B394"/>
    <mergeCell ref="A294:A297"/>
    <mergeCell ref="A429:A432"/>
    <mergeCell ref="AE4:AG4"/>
    <mergeCell ref="B480:AA480"/>
    <mergeCell ref="B478:AA478"/>
    <mergeCell ref="T417:T420"/>
    <mergeCell ref="T298:T301"/>
    <mergeCell ref="S391:S394"/>
    <mergeCell ref="B413:B416"/>
    <mergeCell ref="S438:S441"/>
    <mergeCell ref="B434:C437"/>
    <mergeCell ref="B245:B248"/>
    <mergeCell ref="AJ4:AL4"/>
    <mergeCell ref="AH4:AI4"/>
    <mergeCell ref="A245:A248"/>
    <mergeCell ref="A331:A334"/>
    <mergeCell ref="B331:B334"/>
    <mergeCell ref="C331:C334"/>
    <mergeCell ref="S331:S334"/>
    <mergeCell ref="T245:T248"/>
    <mergeCell ref="S245:S248"/>
    <mergeCell ref="B262:B265"/>
    <mergeCell ref="A421:A424"/>
    <mergeCell ref="A413:A416"/>
    <mergeCell ref="C413:C416"/>
    <mergeCell ref="C294:C297"/>
    <mergeCell ref="C327:C330"/>
    <mergeCell ref="C319:C322"/>
    <mergeCell ref="C341:C344"/>
    <mergeCell ref="C395:C398"/>
    <mergeCell ref="B327:B330"/>
    <mergeCell ref="B315:B318"/>
    <mergeCell ref="A454:A457"/>
    <mergeCell ref="B417:B420"/>
    <mergeCell ref="A417:A420"/>
    <mergeCell ref="B454:B457"/>
    <mergeCell ref="A450:A453"/>
    <mergeCell ref="B278:B281"/>
    <mergeCell ref="A400:A403"/>
    <mergeCell ref="B400:C403"/>
    <mergeCell ref="C446:C449"/>
    <mergeCell ref="A446:A449"/>
    <mergeCell ref="B274:B277"/>
    <mergeCell ref="B270:B273"/>
    <mergeCell ref="A434:A437"/>
    <mergeCell ref="A262:A265"/>
    <mergeCell ref="A274:A277"/>
    <mergeCell ref="A270:A273"/>
    <mergeCell ref="A278:A281"/>
    <mergeCell ref="A298:A301"/>
    <mergeCell ref="B294:B297"/>
    <mergeCell ref="A327:A330"/>
    <mergeCell ref="B319:B322"/>
    <mergeCell ref="S323:S326"/>
    <mergeCell ref="B323:B326"/>
    <mergeCell ref="S327:S330"/>
    <mergeCell ref="S315:S318"/>
    <mergeCell ref="S319:S322"/>
    <mergeCell ref="T335:T338"/>
    <mergeCell ref="T339:T340"/>
    <mergeCell ref="C335:C338"/>
    <mergeCell ref="B22:B25"/>
    <mergeCell ref="B30:B33"/>
    <mergeCell ref="T34:T37"/>
    <mergeCell ref="T303:T306"/>
    <mergeCell ref="S241:S244"/>
    <mergeCell ref="S335:S338"/>
    <mergeCell ref="C315:C318"/>
    <mergeCell ref="S294:S297"/>
    <mergeCell ref="T294:T297"/>
    <mergeCell ref="T331:T334"/>
    <mergeCell ref="A38:A41"/>
    <mergeCell ref="C38:C41"/>
    <mergeCell ref="B38:B41"/>
    <mergeCell ref="T327:T330"/>
    <mergeCell ref="A311:A314"/>
    <mergeCell ref="A307:A310"/>
    <mergeCell ref="S282:S285"/>
    <mergeCell ref="A34:A37"/>
    <mergeCell ref="C34:C37"/>
    <mergeCell ref="A22:A25"/>
    <mergeCell ref="A30:A33"/>
    <mergeCell ref="C30:C33"/>
    <mergeCell ref="A26:C29"/>
    <mergeCell ref="A365:AC365"/>
    <mergeCell ref="S341:S344"/>
    <mergeCell ref="T341:T344"/>
    <mergeCell ref="B345:B348"/>
    <mergeCell ref="C345:C348"/>
    <mergeCell ref="S345:S348"/>
    <mergeCell ref="T345:T348"/>
    <mergeCell ref="T349:T352"/>
    <mergeCell ref="A353:A356"/>
    <mergeCell ref="B353:B356"/>
    <mergeCell ref="C339:C340"/>
    <mergeCell ref="B341:B344"/>
    <mergeCell ref="B237:B240"/>
    <mergeCell ref="B282:B285"/>
    <mergeCell ref="C282:C285"/>
    <mergeCell ref="A323:A326"/>
    <mergeCell ref="C323:C326"/>
    <mergeCell ref="B303:C306"/>
    <mergeCell ref="A303:A306"/>
    <mergeCell ref="B311:B314"/>
    <mergeCell ref="T379:T382"/>
    <mergeCell ref="A383:A386"/>
    <mergeCell ref="T370:T373"/>
    <mergeCell ref="S370:S373"/>
    <mergeCell ref="B379:C382"/>
    <mergeCell ref="A378:AC378"/>
    <mergeCell ref="A374:A377"/>
    <mergeCell ref="T374:T377"/>
    <mergeCell ref="B374:B377"/>
    <mergeCell ref="A379:A382"/>
    <mergeCell ref="T366:T369"/>
    <mergeCell ref="A370:A373"/>
    <mergeCell ref="B370:B373"/>
    <mergeCell ref="C370:C373"/>
    <mergeCell ref="A366:A369"/>
    <mergeCell ref="S366:S369"/>
    <mergeCell ref="S383:S386"/>
    <mergeCell ref="C429:C432"/>
    <mergeCell ref="B429:B432"/>
    <mergeCell ref="C421:C424"/>
    <mergeCell ref="B409:C412"/>
    <mergeCell ref="C391:C394"/>
    <mergeCell ref="B425:B428"/>
    <mergeCell ref="S387:S390"/>
    <mergeCell ref="S413:S416"/>
    <mergeCell ref="S421:S424"/>
    <mergeCell ref="B13:C16"/>
    <mergeCell ref="C42:C45"/>
    <mergeCell ref="B148:B151"/>
    <mergeCell ref="B152:B155"/>
    <mergeCell ref="B218:B221"/>
    <mergeCell ref="C237:C240"/>
    <mergeCell ref="C233:C236"/>
    <mergeCell ref="B100:B103"/>
    <mergeCell ref="C83:C86"/>
    <mergeCell ref="C58:C61"/>
    <mergeCell ref="A113:A116"/>
    <mergeCell ref="T307:T310"/>
    <mergeCell ref="B298:B301"/>
    <mergeCell ref="C298:C301"/>
    <mergeCell ref="B307:B310"/>
    <mergeCell ref="S303:S306"/>
    <mergeCell ref="C307:C310"/>
    <mergeCell ref="S307:S310"/>
    <mergeCell ref="S298:S301"/>
    <mergeCell ref="T241:T244"/>
    <mergeCell ref="B2:AC2"/>
    <mergeCell ref="S206:S209"/>
    <mergeCell ref="S74:S77"/>
    <mergeCell ref="T74:T77"/>
    <mergeCell ref="S79:S82"/>
    <mergeCell ref="A129:AC129"/>
    <mergeCell ref="A108:AC108"/>
    <mergeCell ref="B58:B61"/>
    <mergeCell ref="C46:C49"/>
    <mergeCell ref="C100:C103"/>
    <mergeCell ref="AA1:AC1"/>
    <mergeCell ref="A78:AA78"/>
    <mergeCell ref="B18:C21"/>
    <mergeCell ref="T50:T53"/>
    <mergeCell ref="A62:A65"/>
    <mergeCell ref="B34:B37"/>
    <mergeCell ref="A42:A45"/>
    <mergeCell ref="B42:B45"/>
    <mergeCell ref="B50:B53"/>
    <mergeCell ref="A54:A57"/>
    <mergeCell ref="S202:S205"/>
    <mergeCell ref="C148:C151"/>
    <mergeCell ref="C152:C155"/>
    <mergeCell ref="C164:C167"/>
    <mergeCell ref="B136:C139"/>
    <mergeCell ref="A135:AC135"/>
    <mergeCell ref="S193:S196"/>
    <mergeCell ref="T197:T200"/>
    <mergeCell ref="S189:S192"/>
    <mergeCell ref="B197:B200"/>
    <mergeCell ref="T136:T139"/>
    <mergeCell ref="B130:C133"/>
    <mergeCell ref="T160:T163"/>
    <mergeCell ref="T168:T171"/>
    <mergeCell ref="C125:C128"/>
    <mergeCell ref="T125:T128"/>
    <mergeCell ref="T130:T133"/>
    <mergeCell ref="S125:S128"/>
    <mergeCell ref="S140:S143"/>
    <mergeCell ref="T140:T143"/>
    <mergeCell ref="B96:B99"/>
    <mergeCell ref="C96:C99"/>
    <mergeCell ref="B117:B120"/>
    <mergeCell ref="C88:C91"/>
    <mergeCell ref="T189:T192"/>
    <mergeCell ref="A96:A99"/>
    <mergeCell ref="A100:A103"/>
    <mergeCell ref="A136:A139"/>
    <mergeCell ref="S136:S139"/>
    <mergeCell ref="A125:A128"/>
    <mergeCell ref="A46:A49"/>
    <mergeCell ref="T164:T167"/>
    <mergeCell ref="S185:S188"/>
    <mergeCell ref="S152:S155"/>
    <mergeCell ref="S156:S159"/>
    <mergeCell ref="A185:A188"/>
    <mergeCell ref="T62:T65"/>
    <mergeCell ref="A58:A61"/>
    <mergeCell ref="S50:S53"/>
    <mergeCell ref="A88:A91"/>
    <mergeCell ref="A438:A441"/>
    <mergeCell ref="A433:AC433"/>
    <mergeCell ref="C311:C314"/>
    <mergeCell ref="T404:T407"/>
    <mergeCell ref="A408:AC408"/>
    <mergeCell ref="C383:C386"/>
    <mergeCell ref="A387:A390"/>
    <mergeCell ref="S429:S432"/>
    <mergeCell ref="B366:C369"/>
    <mergeCell ref="B383:B386"/>
    <mergeCell ref="B446:B449"/>
    <mergeCell ref="B442:B445"/>
    <mergeCell ref="C442:C445"/>
    <mergeCell ref="C425:C428"/>
    <mergeCell ref="B335:B338"/>
    <mergeCell ref="C258:C261"/>
    <mergeCell ref="C274:C277"/>
    <mergeCell ref="C286:C289"/>
    <mergeCell ref="B387:B390"/>
    <mergeCell ref="C278:C281"/>
    <mergeCell ref="C270:C273"/>
    <mergeCell ref="B339:B340"/>
    <mergeCell ref="S400:S403"/>
    <mergeCell ref="T400:T403"/>
    <mergeCell ref="T395:T398"/>
    <mergeCell ref="S278:S281"/>
    <mergeCell ref="T282:T285"/>
    <mergeCell ref="T323:T326"/>
    <mergeCell ref="C374:C377"/>
    <mergeCell ref="S379:S382"/>
    <mergeCell ref="T409:T412"/>
    <mergeCell ref="C387:C390"/>
    <mergeCell ref="A409:A412"/>
    <mergeCell ref="S395:S398"/>
    <mergeCell ref="B404:B407"/>
    <mergeCell ref="A117:A120"/>
    <mergeCell ref="A130:A133"/>
    <mergeCell ref="A156:A159"/>
    <mergeCell ref="C189:C192"/>
    <mergeCell ref="B202:C205"/>
    <mergeCell ref="A13:A16"/>
    <mergeCell ref="A109:A112"/>
    <mergeCell ref="A121:A124"/>
    <mergeCell ref="A18:A21"/>
    <mergeCell ref="A83:A86"/>
    <mergeCell ref="A189:A192"/>
    <mergeCell ref="A17:AC17"/>
    <mergeCell ref="C92:C95"/>
    <mergeCell ref="A92:A95"/>
    <mergeCell ref="A104:A107"/>
    <mergeCell ref="A50:A53"/>
    <mergeCell ref="A70:A73"/>
    <mergeCell ref="B92:B95"/>
    <mergeCell ref="B74:B77"/>
    <mergeCell ref="A66:A69"/>
    <mergeCell ref="A74:A77"/>
    <mergeCell ref="A79:A82"/>
    <mergeCell ref="B88:B91"/>
    <mergeCell ref="B70:B73"/>
    <mergeCell ref="B66:B69"/>
    <mergeCell ref="T79:T82"/>
    <mergeCell ref="T83:T86"/>
    <mergeCell ref="B79:C82"/>
    <mergeCell ref="S83:S86"/>
    <mergeCell ref="S70:S73"/>
    <mergeCell ref="T70:T73"/>
    <mergeCell ref="B46:B49"/>
    <mergeCell ref="B54:B57"/>
    <mergeCell ref="C22:C25"/>
    <mergeCell ref="T30:T33"/>
    <mergeCell ref="C62:C65"/>
    <mergeCell ref="S62:S65"/>
    <mergeCell ref="S34:S37"/>
    <mergeCell ref="S54:S57"/>
    <mergeCell ref="T42:T45"/>
    <mergeCell ref="B62:B65"/>
    <mergeCell ref="S13:S16"/>
    <mergeCell ref="T54:T57"/>
    <mergeCell ref="S42:S45"/>
    <mergeCell ref="S46:S49"/>
    <mergeCell ref="T46:T49"/>
    <mergeCell ref="T18:T21"/>
    <mergeCell ref="S18:S21"/>
    <mergeCell ref="S26:S29"/>
    <mergeCell ref="T13:T16"/>
    <mergeCell ref="T38:T41"/>
    <mergeCell ref="A11:AC11"/>
    <mergeCell ref="A7:A10"/>
    <mergeCell ref="S7:S10"/>
    <mergeCell ref="B7:C10"/>
    <mergeCell ref="T7:T10"/>
    <mergeCell ref="S38:S41"/>
    <mergeCell ref="S22:S25"/>
    <mergeCell ref="T26:T29"/>
    <mergeCell ref="S30:S33"/>
    <mergeCell ref="T22:T25"/>
    <mergeCell ref="T66:T69"/>
    <mergeCell ref="S109:S112"/>
    <mergeCell ref="S121:S124"/>
    <mergeCell ref="C109:C112"/>
    <mergeCell ref="C66:C69"/>
    <mergeCell ref="A87:AC87"/>
    <mergeCell ref="B83:B86"/>
    <mergeCell ref="C70:C73"/>
    <mergeCell ref="B109:B112"/>
    <mergeCell ref="B104:B107"/>
    <mergeCell ref="S286:S289"/>
    <mergeCell ref="A12:AC12"/>
    <mergeCell ref="T319:T322"/>
    <mergeCell ref="C74:C77"/>
    <mergeCell ref="T58:T61"/>
    <mergeCell ref="S66:S69"/>
    <mergeCell ref="S58:S61"/>
    <mergeCell ref="A302:AC302"/>
    <mergeCell ref="C54:C57"/>
    <mergeCell ref="C50:C53"/>
    <mergeCell ref="C404:C407"/>
    <mergeCell ref="B395:B398"/>
    <mergeCell ref="A395:A398"/>
    <mergeCell ref="A391:A394"/>
    <mergeCell ref="T387:T390"/>
    <mergeCell ref="S404:S407"/>
    <mergeCell ref="A399:AC399"/>
    <mergeCell ref="T214:T217"/>
    <mergeCell ref="A184:AC184"/>
    <mergeCell ref="A206:A209"/>
    <mergeCell ref="T206:T209"/>
    <mergeCell ref="A202:A205"/>
    <mergeCell ref="A201:AC201"/>
    <mergeCell ref="C193:C196"/>
    <mergeCell ref="S197:S200"/>
    <mergeCell ref="A193:A196"/>
    <mergeCell ref="T202:T205"/>
    <mergeCell ref="T421:T424"/>
    <mergeCell ref="T315:T318"/>
    <mergeCell ref="S425:S428"/>
    <mergeCell ref="B222:B228"/>
    <mergeCell ref="S270:S273"/>
    <mergeCell ref="S237:S240"/>
    <mergeCell ref="S374:S377"/>
    <mergeCell ref="T311:T314"/>
    <mergeCell ref="S409:S412"/>
    <mergeCell ref="S311:S314"/>
    <mergeCell ref="S462:S465"/>
    <mergeCell ref="T462:T465"/>
    <mergeCell ref="S458:S461"/>
    <mergeCell ref="T458:T461"/>
    <mergeCell ref="S454:S457"/>
    <mergeCell ref="T454:T457"/>
    <mergeCell ref="T383:T386"/>
    <mergeCell ref="T429:T432"/>
    <mergeCell ref="A458:A461"/>
    <mergeCell ref="T442:T445"/>
    <mergeCell ref="S442:S445"/>
    <mergeCell ref="T450:T453"/>
    <mergeCell ref="T413:T416"/>
    <mergeCell ref="T434:T437"/>
    <mergeCell ref="T425:T428"/>
    <mergeCell ref="T446:T449"/>
    <mergeCell ref="T237:T240"/>
    <mergeCell ref="S470:S473"/>
    <mergeCell ref="W1:Y1"/>
    <mergeCell ref="T113:T116"/>
    <mergeCell ref="B113:B116"/>
    <mergeCell ref="Y3:AC3"/>
    <mergeCell ref="S113:S116"/>
    <mergeCell ref="T104:T107"/>
    <mergeCell ref="T92:T95"/>
    <mergeCell ref="T88:T91"/>
    <mergeCell ref="A470:A473"/>
    <mergeCell ref="B470:B473"/>
    <mergeCell ref="C470:C473"/>
    <mergeCell ref="A266:A269"/>
    <mergeCell ref="B438:B441"/>
    <mergeCell ref="C438:C441"/>
    <mergeCell ref="B421:B424"/>
    <mergeCell ref="A466:A469"/>
    <mergeCell ref="B266:B269"/>
    <mergeCell ref="B458:B461"/>
    <mergeCell ref="B466:B469"/>
    <mergeCell ref="C466:C469"/>
    <mergeCell ref="S466:S469"/>
    <mergeCell ref="C462:C465"/>
    <mergeCell ref="T438:T441"/>
    <mergeCell ref="C417:C420"/>
    <mergeCell ref="S434:S437"/>
    <mergeCell ref="S446:S449"/>
    <mergeCell ref="S417:S420"/>
    <mergeCell ref="B462:B465"/>
    <mergeCell ref="C290:C293"/>
    <mergeCell ref="T286:T289"/>
    <mergeCell ref="C266:C269"/>
    <mergeCell ref="B254:C257"/>
    <mergeCell ref="C241:C244"/>
    <mergeCell ref="T290:T293"/>
    <mergeCell ref="S258:S261"/>
    <mergeCell ref="B290:B293"/>
    <mergeCell ref="T266:T269"/>
    <mergeCell ref="T270:T273"/>
    <mergeCell ref="B477:AA477"/>
    <mergeCell ref="S214:S217"/>
    <mergeCell ref="S450:S453"/>
    <mergeCell ref="T278:T281"/>
    <mergeCell ref="T262:T265"/>
    <mergeCell ref="T274:T277"/>
    <mergeCell ref="S274:S277"/>
    <mergeCell ref="C229:C232"/>
    <mergeCell ref="B286:B289"/>
    <mergeCell ref="S290:S293"/>
    <mergeCell ref="C249:C252"/>
    <mergeCell ref="A249:A252"/>
    <mergeCell ref="B479:AA479"/>
    <mergeCell ref="B450:B453"/>
    <mergeCell ref="C454:C457"/>
    <mergeCell ref="C458:C461"/>
    <mergeCell ref="C450:C453"/>
    <mergeCell ref="T466:T469"/>
    <mergeCell ref="A282:A285"/>
    <mergeCell ref="T470:T473"/>
    <mergeCell ref="B214:B217"/>
    <mergeCell ref="B210:B213"/>
    <mergeCell ref="C210:C213"/>
    <mergeCell ref="A222:A228"/>
    <mergeCell ref="C222:C228"/>
    <mergeCell ref="B193:B196"/>
    <mergeCell ref="C214:C217"/>
    <mergeCell ref="A214:A217"/>
    <mergeCell ref="A218:A221"/>
    <mergeCell ref="A197:A200"/>
    <mergeCell ref="C218:C221"/>
    <mergeCell ref="S100:S103"/>
    <mergeCell ref="T100:T103"/>
    <mergeCell ref="S88:S91"/>
    <mergeCell ref="S117:S120"/>
    <mergeCell ref="S96:S99"/>
    <mergeCell ref="T96:T99"/>
    <mergeCell ref="S92:S95"/>
    <mergeCell ref="S130:S133"/>
    <mergeCell ref="S104:S107"/>
    <mergeCell ref="C104:C107"/>
    <mergeCell ref="B121:B124"/>
    <mergeCell ref="T121:T124"/>
    <mergeCell ref="C113:C116"/>
    <mergeCell ref="C117:C120"/>
    <mergeCell ref="T109:T112"/>
    <mergeCell ref="T117:T120"/>
    <mergeCell ref="B206:B209"/>
    <mergeCell ref="C206:C209"/>
    <mergeCell ref="B168:B171"/>
    <mergeCell ref="C168:C171"/>
    <mergeCell ref="C121:C124"/>
    <mergeCell ref="C197:C200"/>
    <mergeCell ref="B189:B192"/>
    <mergeCell ref="B125:B128"/>
    <mergeCell ref="B185:C188"/>
    <mergeCell ref="A134:AC134"/>
    <mergeCell ref="T218:T221"/>
    <mergeCell ref="S218:S221"/>
    <mergeCell ref="S249:S252"/>
    <mergeCell ref="T249:T252"/>
    <mergeCell ref="S222:S228"/>
    <mergeCell ref="T222:T228"/>
    <mergeCell ref="T233:T236"/>
    <mergeCell ref="S233:S236"/>
    <mergeCell ref="S229:S232"/>
    <mergeCell ref="T229:T232"/>
    <mergeCell ref="S254:S257"/>
    <mergeCell ref="S266:S269"/>
    <mergeCell ref="S262:S265"/>
    <mergeCell ref="T258:T261"/>
    <mergeCell ref="A253:AC253"/>
    <mergeCell ref="T254:T257"/>
    <mergeCell ref="B258:B261"/>
    <mergeCell ref="C262:C265"/>
    <mergeCell ref="A258:A261"/>
    <mergeCell ref="A425:A428"/>
    <mergeCell ref="A319:A322"/>
    <mergeCell ref="A315:A318"/>
    <mergeCell ref="A286:A289"/>
    <mergeCell ref="A335:A338"/>
    <mergeCell ref="A339:A340"/>
    <mergeCell ref="A341:A344"/>
    <mergeCell ref="A345:A348"/>
    <mergeCell ref="A290:A293"/>
    <mergeCell ref="A404:A407"/>
    <mergeCell ref="A241:A244"/>
    <mergeCell ref="A237:A240"/>
    <mergeCell ref="A254:A257"/>
    <mergeCell ref="A229:A232"/>
    <mergeCell ref="B229:B232"/>
    <mergeCell ref="B249:B252"/>
    <mergeCell ref="A233:A236"/>
    <mergeCell ref="B241:B244"/>
    <mergeCell ref="B233:B236"/>
    <mergeCell ref="A144:A147"/>
    <mergeCell ref="B144:B147"/>
    <mergeCell ref="C144:C147"/>
    <mergeCell ref="S144:S147"/>
    <mergeCell ref="T144:T147"/>
    <mergeCell ref="S164:S167"/>
    <mergeCell ref="A160:A163"/>
    <mergeCell ref="B160:B163"/>
    <mergeCell ref="C160:C163"/>
    <mergeCell ref="S160:S163"/>
    <mergeCell ref="S148:S151"/>
    <mergeCell ref="A164:A167"/>
    <mergeCell ref="B164:B167"/>
    <mergeCell ref="A148:A151"/>
    <mergeCell ref="A152:A155"/>
    <mergeCell ref="T148:T151"/>
    <mergeCell ref="T152:T155"/>
    <mergeCell ref="T156:T159"/>
    <mergeCell ref="T210:T213"/>
    <mergeCell ref="S210:S213"/>
    <mergeCell ref="A210:A213"/>
    <mergeCell ref="T185:T188"/>
    <mergeCell ref="T193:T196"/>
    <mergeCell ref="T172:T175"/>
    <mergeCell ref="T176:T179"/>
    <mergeCell ref="S180:S183"/>
    <mergeCell ref="T180:T183"/>
    <mergeCell ref="A176:A179"/>
    <mergeCell ref="S168:S171"/>
    <mergeCell ref="A172:A175"/>
    <mergeCell ref="B172:B175"/>
    <mergeCell ref="C172:C175"/>
    <mergeCell ref="S172:S175"/>
    <mergeCell ref="A168:A171"/>
    <mergeCell ref="B176:B179"/>
    <mergeCell ref="C176:C179"/>
    <mergeCell ref="S176:S179"/>
    <mergeCell ref="A180:A183"/>
    <mergeCell ref="B180:B183"/>
    <mergeCell ref="C180:C183"/>
    <mergeCell ref="S353:S356"/>
    <mergeCell ref="T353:T356"/>
    <mergeCell ref="A349:A352"/>
    <mergeCell ref="B349:B352"/>
    <mergeCell ref="C349:C352"/>
    <mergeCell ref="S349:S352"/>
    <mergeCell ref="T357:T360"/>
    <mergeCell ref="A361:A364"/>
    <mergeCell ref="B361:B364"/>
    <mergeCell ref="C361:C364"/>
    <mergeCell ref="S361:S364"/>
    <mergeCell ref="T361:T364"/>
    <mergeCell ref="A357:A360"/>
    <mergeCell ref="B357:B360"/>
    <mergeCell ref="C357:C360"/>
    <mergeCell ref="S357:S360"/>
    <mergeCell ref="W5:X5"/>
    <mergeCell ref="Y5:Z5"/>
    <mergeCell ref="W4:AD4"/>
    <mergeCell ref="K5:L5"/>
    <mergeCell ref="M5:N5"/>
    <mergeCell ref="AA5:AB5"/>
    <mergeCell ref="AC5:AD5"/>
    <mergeCell ref="S4:S6"/>
    <mergeCell ref="T4:T6"/>
    <mergeCell ref="I5:J5"/>
    <mergeCell ref="D4:D6"/>
    <mergeCell ref="O5:P5"/>
    <mergeCell ref="Q5:R5"/>
    <mergeCell ref="E4:R4"/>
    <mergeCell ref="U4:V5"/>
    <mergeCell ref="A483:H483"/>
    <mergeCell ref="A4:A6"/>
    <mergeCell ref="B4:B6"/>
    <mergeCell ref="C4:C6"/>
    <mergeCell ref="E5:F5"/>
    <mergeCell ref="G5:H5"/>
    <mergeCell ref="C353:C356"/>
    <mergeCell ref="A140:A143"/>
    <mergeCell ref="B140:B143"/>
    <mergeCell ref="C140:C143"/>
  </mergeCells>
  <printOptions horizontalCentered="1"/>
  <pageMargins left="0.23622047244094488" right="0.23622047244094488" top="0.3543307086614173" bottom="0.3543307086614173" header="0.31496062992125984" footer="0.31496062992125984"/>
  <pageSetup fitToHeight="0" fitToWidth="1" horizontalDpi="600" verticalDpi="600" orientation="landscape" paperSize="9" scale="41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P18"/>
  <sheetViews>
    <sheetView view="pageBreakPreview" zoomScale="50" zoomScaleNormal="85" zoomScaleSheetLayoutView="50" zoomScalePageLayoutView="0" workbookViewId="0" topLeftCell="A1">
      <selection activeCell="A192" sqref="A192:T192"/>
    </sheetView>
  </sheetViews>
  <sheetFormatPr defaultColWidth="9.00390625" defaultRowHeight="12.75"/>
  <cols>
    <col min="1" max="1" width="16.25390625" style="0" customWidth="1"/>
    <col min="2" max="2" width="14.25390625" style="0" customWidth="1"/>
    <col min="3" max="3" width="13.75390625" style="0" customWidth="1"/>
    <col min="4" max="4" width="14.25390625" style="0" customWidth="1"/>
    <col min="5" max="5" width="13.75390625" style="0" customWidth="1"/>
    <col min="6" max="6" width="14.25390625" style="0" customWidth="1"/>
    <col min="7" max="7" width="13.75390625" style="0" customWidth="1"/>
    <col min="8" max="8" width="14.25390625" style="0" customWidth="1"/>
    <col min="9" max="9" width="13.75390625" style="0" customWidth="1"/>
    <col min="10" max="10" width="14.25390625" style="0" customWidth="1"/>
    <col min="11" max="11" width="13.75390625" style="0" customWidth="1"/>
    <col min="12" max="12" width="14.25390625" style="0" customWidth="1"/>
    <col min="13" max="13" width="13.75390625" style="0" customWidth="1"/>
  </cols>
  <sheetData>
    <row r="1" spans="1:16" ht="58.5" customHeight="1">
      <c r="A1" s="929" t="s">
        <v>199</v>
      </c>
      <c r="B1" s="929"/>
      <c r="C1" s="929"/>
      <c r="D1" s="929"/>
      <c r="E1" s="929"/>
      <c r="F1" s="929"/>
      <c r="G1" s="929"/>
      <c r="H1" s="929"/>
      <c r="I1" s="929"/>
      <c r="J1" s="929"/>
      <c r="K1" s="929"/>
      <c r="L1" s="929"/>
      <c r="M1" s="929"/>
      <c r="N1" s="405"/>
      <c r="O1" s="405"/>
      <c r="P1" s="405"/>
    </row>
    <row r="3" spans="1:13" ht="19.5" customHeight="1">
      <c r="A3" s="1026"/>
      <c r="B3" s="1023" t="s">
        <v>200</v>
      </c>
      <c r="C3" s="1024"/>
      <c r="D3" s="1020" t="s">
        <v>201</v>
      </c>
      <c r="E3" s="1021"/>
      <c r="F3" s="1021"/>
      <c r="G3" s="1021"/>
      <c r="H3" s="1021"/>
      <c r="I3" s="1021"/>
      <c r="J3" s="1021"/>
      <c r="K3" s="1021"/>
      <c r="L3" s="1021"/>
      <c r="M3" s="1022"/>
    </row>
    <row r="4" spans="1:13" ht="18" customHeight="1">
      <c r="A4" s="1026"/>
      <c r="B4" s="1027" t="s">
        <v>570</v>
      </c>
      <c r="C4" s="1027"/>
      <c r="D4" s="1025">
        <v>2010</v>
      </c>
      <c r="E4" s="1025"/>
      <c r="F4" s="1025">
        <v>2011</v>
      </c>
      <c r="G4" s="1025"/>
      <c r="H4" s="1025">
        <v>2012</v>
      </c>
      <c r="I4" s="1025"/>
      <c r="J4" s="1025">
        <v>2013</v>
      </c>
      <c r="K4" s="1025"/>
      <c r="L4" s="1025">
        <v>2014</v>
      </c>
      <c r="M4" s="1025"/>
    </row>
    <row r="5" spans="1:13" ht="137.25" customHeight="1">
      <c r="A5" s="1026"/>
      <c r="B5" s="406" t="s">
        <v>202</v>
      </c>
      <c r="C5" s="406" t="s">
        <v>203</v>
      </c>
      <c r="D5" s="406" t="s">
        <v>202</v>
      </c>
      <c r="E5" s="406" t="s">
        <v>203</v>
      </c>
      <c r="F5" s="406" t="s">
        <v>202</v>
      </c>
      <c r="G5" s="406" t="s">
        <v>203</v>
      </c>
      <c r="H5" s="406" t="s">
        <v>202</v>
      </c>
      <c r="I5" s="406" t="s">
        <v>203</v>
      </c>
      <c r="J5" s="406" t="s">
        <v>202</v>
      </c>
      <c r="K5" s="406" t="s">
        <v>203</v>
      </c>
      <c r="L5" s="406" t="s">
        <v>202</v>
      </c>
      <c r="M5" s="406" t="s">
        <v>203</v>
      </c>
    </row>
    <row r="6" spans="1:13" ht="34.5" customHeight="1">
      <c r="A6" s="407" t="s">
        <v>204</v>
      </c>
      <c r="B6" s="408">
        <f aca="true" t="shared" si="0" ref="B6:B17">D6+F6+H6+J6+L6</f>
        <v>85</v>
      </c>
      <c r="C6" s="408">
        <f aca="true" t="shared" si="1" ref="C6:C17">E6+G6+I6+K6+M6</f>
        <v>38</v>
      </c>
      <c r="D6" s="407">
        <v>6</v>
      </c>
      <c r="E6" s="409">
        <v>1</v>
      </c>
      <c r="F6" s="407">
        <v>9</v>
      </c>
      <c r="G6" s="409">
        <v>2</v>
      </c>
      <c r="H6" s="407">
        <v>7</v>
      </c>
      <c r="I6" s="409">
        <v>3</v>
      </c>
      <c r="J6" s="407">
        <v>10</v>
      </c>
      <c r="K6" s="409">
        <v>16</v>
      </c>
      <c r="L6" s="407">
        <v>53</v>
      </c>
      <c r="M6" s="409">
        <v>16</v>
      </c>
    </row>
    <row r="7" spans="1:13" ht="34.5" customHeight="1">
      <c r="A7" s="407" t="s">
        <v>205</v>
      </c>
      <c r="B7" s="408">
        <f t="shared" si="0"/>
        <v>105</v>
      </c>
      <c r="C7" s="408">
        <f t="shared" si="1"/>
        <v>70</v>
      </c>
      <c r="D7" s="407">
        <v>12</v>
      </c>
      <c r="E7" s="409">
        <v>3</v>
      </c>
      <c r="F7" s="407">
        <v>16</v>
      </c>
      <c r="G7" s="409">
        <v>5</v>
      </c>
      <c r="H7" s="407">
        <v>11</v>
      </c>
      <c r="I7" s="409">
        <v>4</v>
      </c>
      <c r="J7" s="407">
        <v>15</v>
      </c>
      <c r="K7" s="409">
        <v>25</v>
      </c>
      <c r="L7" s="407">
        <v>51</v>
      </c>
      <c r="M7" s="409">
        <v>33</v>
      </c>
    </row>
    <row r="8" spans="1:13" ht="34.5" customHeight="1">
      <c r="A8" s="407" t="s">
        <v>206</v>
      </c>
      <c r="B8" s="408">
        <f t="shared" si="0"/>
        <v>127</v>
      </c>
      <c r="C8" s="408">
        <f t="shared" si="1"/>
        <v>99</v>
      </c>
      <c r="D8" s="407">
        <v>21</v>
      </c>
      <c r="E8" s="409">
        <v>12</v>
      </c>
      <c r="F8" s="407">
        <v>12</v>
      </c>
      <c r="G8" s="409">
        <v>4</v>
      </c>
      <c r="H8" s="407">
        <v>15</v>
      </c>
      <c r="I8" s="409">
        <v>9</v>
      </c>
      <c r="J8" s="407">
        <v>15</v>
      </c>
      <c r="K8" s="409">
        <v>36</v>
      </c>
      <c r="L8" s="407">
        <v>64</v>
      </c>
      <c r="M8" s="409">
        <v>38</v>
      </c>
    </row>
    <row r="9" spans="1:13" ht="34.5" customHeight="1">
      <c r="A9" s="407" t="s">
        <v>207</v>
      </c>
      <c r="B9" s="408">
        <f t="shared" si="0"/>
        <v>125</v>
      </c>
      <c r="C9" s="408">
        <f t="shared" si="1"/>
        <v>103</v>
      </c>
      <c r="D9" s="407">
        <v>11</v>
      </c>
      <c r="E9" s="409">
        <v>4</v>
      </c>
      <c r="F9" s="407">
        <v>28</v>
      </c>
      <c r="G9" s="409">
        <v>13</v>
      </c>
      <c r="H9" s="407">
        <v>17</v>
      </c>
      <c r="I9" s="409">
        <v>8</v>
      </c>
      <c r="J9" s="407">
        <v>13</v>
      </c>
      <c r="K9" s="409">
        <v>39</v>
      </c>
      <c r="L9" s="407">
        <v>56</v>
      </c>
      <c r="M9" s="409">
        <v>39</v>
      </c>
    </row>
    <row r="10" spans="1:13" ht="34.5" customHeight="1">
      <c r="A10" s="407" t="s">
        <v>208</v>
      </c>
      <c r="B10" s="408">
        <f t="shared" si="0"/>
        <v>110</v>
      </c>
      <c r="C10" s="408">
        <f t="shared" si="1"/>
        <v>82</v>
      </c>
      <c r="D10" s="407">
        <v>8</v>
      </c>
      <c r="E10" s="409">
        <v>3</v>
      </c>
      <c r="F10" s="407">
        <v>11</v>
      </c>
      <c r="G10" s="409">
        <v>5</v>
      </c>
      <c r="H10" s="407">
        <v>13</v>
      </c>
      <c r="I10" s="409">
        <v>6</v>
      </c>
      <c r="J10" s="407">
        <v>25</v>
      </c>
      <c r="K10" s="409">
        <v>32</v>
      </c>
      <c r="L10" s="407">
        <v>53</v>
      </c>
      <c r="M10" s="409">
        <v>36</v>
      </c>
    </row>
    <row r="11" spans="1:13" ht="34.5" customHeight="1">
      <c r="A11" s="407" t="s">
        <v>209</v>
      </c>
      <c r="B11" s="408">
        <f t="shared" si="0"/>
        <v>125</v>
      </c>
      <c r="C11" s="408">
        <f t="shared" si="1"/>
        <v>86</v>
      </c>
      <c r="D11" s="407">
        <v>9</v>
      </c>
      <c r="E11" s="409">
        <v>5</v>
      </c>
      <c r="F11" s="407">
        <v>19</v>
      </c>
      <c r="G11" s="409">
        <v>6</v>
      </c>
      <c r="H11" s="407">
        <v>15</v>
      </c>
      <c r="I11" s="409">
        <v>7</v>
      </c>
      <c r="J11" s="407">
        <v>20</v>
      </c>
      <c r="K11" s="409">
        <v>33</v>
      </c>
      <c r="L11" s="407">
        <v>62</v>
      </c>
      <c r="M11" s="409">
        <v>35</v>
      </c>
    </row>
    <row r="12" spans="1:13" ht="34.5" customHeight="1">
      <c r="A12" s="407" t="s">
        <v>210</v>
      </c>
      <c r="B12" s="408">
        <f t="shared" si="0"/>
        <v>162</v>
      </c>
      <c r="C12" s="408">
        <f t="shared" si="1"/>
        <v>74</v>
      </c>
      <c r="D12" s="407">
        <v>10</v>
      </c>
      <c r="E12" s="409">
        <v>6</v>
      </c>
      <c r="F12" s="407">
        <v>13</v>
      </c>
      <c r="G12" s="409">
        <v>4</v>
      </c>
      <c r="H12" s="407">
        <v>17</v>
      </c>
      <c r="I12" s="409">
        <v>9</v>
      </c>
      <c r="J12" s="407">
        <f>46+29</f>
        <v>75</v>
      </c>
      <c r="K12" s="409">
        <v>21</v>
      </c>
      <c r="L12" s="407">
        <v>47</v>
      </c>
      <c r="M12" s="409">
        <v>34</v>
      </c>
    </row>
    <row r="13" spans="1:13" ht="34.5" customHeight="1">
      <c r="A13" s="407" t="s">
        <v>211</v>
      </c>
      <c r="B13" s="408">
        <f t="shared" si="0"/>
        <v>189</v>
      </c>
      <c r="C13" s="408">
        <f t="shared" si="1"/>
        <v>83</v>
      </c>
      <c r="D13" s="407">
        <v>14</v>
      </c>
      <c r="E13" s="409">
        <v>4</v>
      </c>
      <c r="F13" s="407">
        <v>17</v>
      </c>
      <c r="G13" s="409">
        <v>7</v>
      </c>
      <c r="H13" s="407">
        <v>13</v>
      </c>
      <c r="I13" s="409">
        <v>12</v>
      </c>
      <c r="J13" s="407">
        <f>57+29</f>
        <v>86</v>
      </c>
      <c r="K13" s="409">
        <v>24</v>
      </c>
      <c r="L13" s="407">
        <v>59</v>
      </c>
      <c r="M13" s="409">
        <v>36</v>
      </c>
    </row>
    <row r="14" spans="1:13" ht="34.5" customHeight="1">
      <c r="A14" s="407" t="s">
        <v>212</v>
      </c>
      <c r="B14" s="408">
        <f t="shared" si="0"/>
        <v>196</v>
      </c>
      <c r="C14" s="408">
        <f t="shared" si="1"/>
        <v>91</v>
      </c>
      <c r="D14" s="407">
        <v>15</v>
      </c>
      <c r="E14" s="409">
        <v>7</v>
      </c>
      <c r="F14" s="407">
        <v>23</v>
      </c>
      <c r="G14" s="409">
        <v>9</v>
      </c>
      <c r="H14" s="407">
        <v>21</v>
      </c>
      <c r="I14" s="409">
        <v>11</v>
      </c>
      <c r="J14" s="407">
        <f>45+29</f>
        <v>74</v>
      </c>
      <c r="K14" s="409">
        <v>25</v>
      </c>
      <c r="L14" s="407">
        <v>63</v>
      </c>
      <c r="M14" s="409">
        <v>39</v>
      </c>
    </row>
    <row r="15" spans="1:13" ht="34.5" customHeight="1">
      <c r="A15" s="407" t="s">
        <v>213</v>
      </c>
      <c r="B15" s="408">
        <f t="shared" si="0"/>
        <v>238</v>
      </c>
      <c r="C15" s="408">
        <f t="shared" si="1"/>
        <v>99</v>
      </c>
      <c r="D15" s="407">
        <v>33</v>
      </c>
      <c r="E15" s="409">
        <v>16</v>
      </c>
      <c r="F15" s="407">
        <v>27</v>
      </c>
      <c r="G15" s="409">
        <v>8</v>
      </c>
      <c r="H15" s="407">
        <v>25</v>
      </c>
      <c r="I15" s="409">
        <v>11</v>
      </c>
      <c r="J15" s="407">
        <f>49+30</f>
        <v>79</v>
      </c>
      <c r="K15" s="409">
        <v>34</v>
      </c>
      <c r="L15" s="407">
        <v>74</v>
      </c>
      <c r="M15" s="409">
        <v>30</v>
      </c>
    </row>
    <row r="16" spans="1:13" ht="34.5" customHeight="1">
      <c r="A16" s="407" t="s">
        <v>214</v>
      </c>
      <c r="B16" s="408">
        <f t="shared" si="0"/>
        <v>201</v>
      </c>
      <c r="C16" s="408">
        <f t="shared" si="1"/>
        <v>89</v>
      </c>
      <c r="D16" s="407">
        <v>24</v>
      </c>
      <c r="E16" s="409">
        <v>18</v>
      </c>
      <c r="F16" s="407">
        <v>18</v>
      </c>
      <c r="G16" s="409">
        <v>5</v>
      </c>
      <c r="H16" s="407">
        <v>28</v>
      </c>
      <c r="I16" s="409">
        <v>9</v>
      </c>
      <c r="J16" s="407">
        <f>49+40</f>
        <v>89</v>
      </c>
      <c r="K16" s="409">
        <v>25</v>
      </c>
      <c r="L16" s="407">
        <v>42</v>
      </c>
      <c r="M16" s="409">
        <v>32</v>
      </c>
    </row>
    <row r="17" spans="1:13" ht="34.5" customHeight="1">
      <c r="A17" s="407" t="s">
        <v>215</v>
      </c>
      <c r="B17" s="408">
        <f t="shared" si="0"/>
        <v>261</v>
      </c>
      <c r="C17" s="408">
        <f t="shared" si="1"/>
        <v>86</v>
      </c>
      <c r="D17" s="407">
        <v>38</v>
      </c>
      <c r="E17" s="409">
        <v>12</v>
      </c>
      <c r="F17" s="407">
        <v>10</v>
      </c>
      <c r="G17" s="409">
        <v>3</v>
      </c>
      <c r="H17" s="407">
        <v>26</v>
      </c>
      <c r="I17" s="409">
        <v>10</v>
      </c>
      <c r="J17" s="407">
        <f>56+(607-557)</f>
        <v>106</v>
      </c>
      <c r="K17" s="409">
        <v>28</v>
      </c>
      <c r="L17" s="407">
        <v>81</v>
      </c>
      <c r="M17" s="409">
        <v>33</v>
      </c>
    </row>
    <row r="18" spans="1:13" ht="28.5" customHeight="1">
      <c r="A18" s="410" t="s">
        <v>216</v>
      </c>
      <c r="B18" s="410">
        <f aca="true" t="shared" si="2" ref="B18:M18">SUM(B6:B17)</f>
        <v>1924</v>
      </c>
      <c r="C18" s="410">
        <f t="shared" si="2"/>
        <v>1000</v>
      </c>
      <c r="D18" s="411">
        <f t="shared" si="2"/>
        <v>201</v>
      </c>
      <c r="E18" s="411">
        <f t="shared" si="2"/>
        <v>91</v>
      </c>
      <c r="F18" s="411">
        <f t="shared" si="2"/>
        <v>203</v>
      </c>
      <c r="G18" s="411">
        <f t="shared" si="2"/>
        <v>71</v>
      </c>
      <c r="H18" s="411">
        <f t="shared" si="2"/>
        <v>208</v>
      </c>
      <c r="I18" s="411">
        <f t="shared" si="2"/>
        <v>99</v>
      </c>
      <c r="J18" s="411">
        <f t="shared" si="2"/>
        <v>607</v>
      </c>
      <c r="K18" s="411">
        <f t="shared" si="2"/>
        <v>338</v>
      </c>
      <c r="L18" s="411">
        <f t="shared" si="2"/>
        <v>705</v>
      </c>
      <c r="M18" s="411">
        <f t="shared" si="2"/>
        <v>401</v>
      </c>
    </row>
  </sheetData>
  <sheetProtection/>
  <mergeCells count="10">
    <mergeCell ref="A1:M1"/>
    <mergeCell ref="D3:M3"/>
    <mergeCell ref="B3:C3"/>
    <mergeCell ref="J4:K4"/>
    <mergeCell ref="L4:M4"/>
    <mergeCell ref="A3:A5"/>
    <mergeCell ref="B4:C4"/>
    <mergeCell ref="D4:E4"/>
    <mergeCell ref="F4:G4"/>
    <mergeCell ref="H4:I4"/>
  </mergeCells>
  <printOptions horizontalCentered="1"/>
  <pageMargins left="0" right="0" top="0.3937007874015748" bottom="0" header="0" footer="0"/>
  <pageSetup fitToHeight="0"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L26"/>
  <sheetViews>
    <sheetView zoomScale="75" zoomScaleNormal="75" zoomScalePageLayoutView="0" workbookViewId="0" topLeftCell="A1">
      <pane xSplit="3" ySplit="5" topLeftCell="D6" activePane="bottomRight" state="frozen"/>
      <selection pane="topLeft" activeCell="A192" sqref="A192:T192"/>
      <selection pane="topRight" activeCell="A192" sqref="A192:T192"/>
      <selection pane="bottomLeft" activeCell="A192" sqref="A192:T192"/>
      <selection pane="bottomRight" activeCell="A192" sqref="A192:T192"/>
    </sheetView>
  </sheetViews>
  <sheetFormatPr defaultColWidth="9.00390625" defaultRowHeight="12.75"/>
  <cols>
    <col min="1" max="1" width="6.25390625" style="281" customWidth="1"/>
    <col min="2" max="2" width="33.875" style="317" customWidth="1"/>
    <col min="3" max="3" width="10.25390625" style="283" customWidth="1"/>
    <col min="4" max="4" width="9.75390625" style="283" customWidth="1"/>
    <col min="5" max="11" width="10.25390625" style="283" customWidth="1"/>
    <col min="12" max="16384" width="9.125" style="283" customWidth="1"/>
  </cols>
  <sheetData>
    <row r="1" spans="1:11" ht="23.25" customHeight="1">
      <c r="A1" s="318" t="s">
        <v>62</v>
      </c>
      <c r="B1" s="1031" t="s">
        <v>63</v>
      </c>
      <c r="C1" s="1031"/>
      <c r="D1" s="1031"/>
      <c r="E1" s="1031"/>
      <c r="F1" s="1031"/>
      <c r="G1" s="1031"/>
      <c r="H1" s="1031"/>
      <c r="I1" s="1031"/>
      <c r="J1" s="1031"/>
      <c r="K1" s="1031"/>
    </row>
    <row r="3" spans="1:11" ht="12.75" customHeight="1">
      <c r="A3" s="1032" t="s">
        <v>64</v>
      </c>
      <c r="B3" s="1035"/>
      <c r="C3" s="1038" t="s">
        <v>723</v>
      </c>
      <c r="D3" s="1041" t="s">
        <v>66</v>
      </c>
      <c r="E3" s="1042"/>
      <c r="F3" s="1042"/>
      <c r="G3" s="1042"/>
      <c r="H3" s="1042"/>
      <c r="I3" s="1042"/>
      <c r="J3" s="1042"/>
      <c r="K3" s="1043"/>
    </row>
    <row r="4" spans="1:11" ht="6.75" customHeight="1">
      <c r="A4" s="1033"/>
      <c r="B4" s="1036"/>
      <c r="C4" s="1039"/>
      <c r="D4" s="1044"/>
      <c r="E4" s="1045"/>
      <c r="F4" s="1045"/>
      <c r="G4" s="1045"/>
      <c r="H4" s="1045"/>
      <c r="I4" s="1045"/>
      <c r="J4" s="1045"/>
      <c r="K4" s="1046"/>
    </row>
    <row r="5" spans="1:11" ht="16.5" customHeight="1">
      <c r="A5" s="1034"/>
      <c r="B5" s="1037"/>
      <c r="C5" s="1040"/>
      <c r="D5" s="394" t="s">
        <v>98</v>
      </c>
      <c r="E5" s="394" t="s">
        <v>68</v>
      </c>
      <c r="F5" s="394" t="s">
        <v>60</v>
      </c>
      <c r="G5" s="394" t="s">
        <v>727</v>
      </c>
      <c r="H5" s="394" t="s">
        <v>728</v>
      </c>
      <c r="I5" s="394" t="s">
        <v>729</v>
      </c>
      <c r="J5" s="394" t="s">
        <v>730</v>
      </c>
      <c r="K5" s="394" t="s">
        <v>731</v>
      </c>
    </row>
    <row r="6" spans="1:11" s="395" customFormat="1" ht="37.5" customHeight="1">
      <c r="A6" s="392" t="s">
        <v>69</v>
      </c>
      <c r="B6" s="393" t="s">
        <v>735</v>
      </c>
      <c r="C6" s="394" t="s">
        <v>47</v>
      </c>
      <c r="D6" s="400">
        <v>15813</v>
      </c>
      <c r="E6" s="400">
        <v>15562</v>
      </c>
      <c r="F6" s="400">
        <v>15278</v>
      </c>
      <c r="G6" s="400">
        <v>15211</v>
      </c>
      <c r="H6" s="400">
        <v>15190</v>
      </c>
      <c r="I6" s="400">
        <v>15198</v>
      </c>
      <c r="J6" s="400">
        <v>15255</v>
      </c>
      <c r="K6" s="400">
        <v>15301</v>
      </c>
    </row>
    <row r="7" spans="1:11" s="395" customFormat="1" ht="33.75" customHeight="1">
      <c r="A7" s="392" t="s">
        <v>70</v>
      </c>
      <c r="B7" s="393" t="s">
        <v>71</v>
      </c>
      <c r="C7" s="394" t="s">
        <v>47</v>
      </c>
      <c r="D7" s="400">
        <v>9551</v>
      </c>
      <c r="E7" s="400">
        <v>9320</v>
      </c>
      <c r="F7" s="400">
        <v>9150</v>
      </c>
      <c r="G7" s="400">
        <v>9109.873674564735</v>
      </c>
      <c r="H7" s="400">
        <v>9097.296766592486</v>
      </c>
      <c r="I7" s="400">
        <v>9102.087969629532</v>
      </c>
      <c r="J7" s="400">
        <v>9136.22529126849</v>
      </c>
      <c r="K7" s="400">
        <v>9163.77470873151</v>
      </c>
    </row>
    <row r="8" spans="1:11" s="399" customFormat="1" ht="21" customHeight="1">
      <c r="A8" s="396" t="s">
        <v>72</v>
      </c>
      <c r="B8" s="397" t="s">
        <v>73</v>
      </c>
      <c r="C8" s="398" t="s">
        <v>47</v>
      </c>
      <c r="D8" s="401">
        <f>'расчет баланса'!D31</f>
        <v>4131</v>
      </c>
      <c r="E8" s="401">
        <f>'расчет баланса'!E31</f>
        <v>4080</v>
      </c>
      <c r="F8" s="401">
        <f>'расчет баланса'!F31</f>
        <v>2784</v>
      </c>
      <c r="G8" s="401" t="e">
        <f>'расчет баланса'!G31</f>
        <v>#REF!</v>
      </c>
      <c r="H8" s="401" t="e">
        <f>'расчет баланса'!H31</f>
        <v>#REF!</v>
      </c>
      <c r="I8" s="401" t="e">
        <f>'расчет баланса'!I31</f>
        <v>#REF!</v>
      </c>
      <c r="J8" s="401" t="e">
        <f>'расчет баланса'!J31</f>
        <v>#REF!</v>
      </c>
      <c r="K8" s="401" t="e">
        <f>'расчет баланса'!K31</f>
        <v>#REF!</v>
      </c>
    </row>
    <row r="9" spans="1:11" s="321" customFormat="1" ht="15.75">
      <c r="A9" s="1028" t="s">
        <v>196</v>
      </c>
      <c r="B9" s="1029"/>
      <c r="C9" s="1029"/>
      <c r="D9" s="1029"/>
      <c r="E9" s="1029"/>
      <c r="F9" s="1029"/>
      <c r="G9" s="1029"/>
      <c r="H9" s="1029"/>
      <c r="I9" s="1029"/>
      <c r="J9" s="1029"/>
      <c r="K9" s="1030"/>
    </row>
    <row r="10" spans="1:11" s="322" customFormat="1" ht="21.75" customHeight="1">
      <c r="A10" s="391" t="s">
        <v>189</v>
      </c>
      <c r="B10" s="319" t="s">
        <v>76</v>
      </c>
      <c r="C10" s="320" t="s">
        <v>47</v>
      </c>
      <c r="D10" s="402">
        <f>'расчет баланса'!D32</f>
        <v>2433</v>
      </c>
      <c r="E10" s="402">
        <f>'расчет баланса'!E32</f>
        <v>2406</v>
      </c>
      <c r="F10" s="402">
        <f>'расчет баланса'!F32</f>
        <v>995</v>
      </c>
      <c r="G10" s="402" t="e">
        <f>'расчет баланса'!G32</f>
        <v>#REF!</v>
      </c>
      <c r="H10" s="402" t="e">
        <f>'расчет баланса'!H32</f>
        <v>#REF!</v>
      </c>
      <c r="I10" s="402" t="e">
        <f>'расчет баланса'!I32</f>
        <v>#REF!</v>
      </c>
      <c r="J10" s="402" t="e">
        <f>'расчет баланса'!J32</f>
        <v>#REF!</v>
      </c>
      <c r="K10" s="402" t="e">
        <f>'расчет баланса'!K32</f>
        <v>#REF!</v>
      </c>
    </row>
    <row r="11" spans="1:11" s="390" customFormat="1" ht="15.75">
      <c r="A11" s="387"/>
      <c r="B11" s="323" t="s">
        <v>194</v>
      </c>
      <c r="C11" s="388" t="s">
        <v>47</v>
      </c>
      <c r="D11" s="403">
        <f>'расчет баланса'!D33</f>
        <v>2298</v>
      </c>
      <c r="E11" s="403">
        <f>'расчет баланса'!E33</f>
        <v>2291</v>
      </c>
      <c r="F11" s="403">
        <f>'расчет баланса'!F33</f>
        <v>885</v>
      </c>
      <c r="G11" s="403">
        <f>'расчет баланса'!G33</f>
        <v>1279</v>
      </c>
      <c r="H11" s="403">
        <f>'расчет баланса'!H33</f>
        <v>1265</v>
      </c>
      <c r="I11" s="403">
        <f>'расчет баланса'!I33</f>
        <v>1251</v>
      </c>
      <c r="J11" s="403">
        <f>'расчет баланса'!J33</f>
        <v>933.5</v>
      </c>
      <c r="K11" s="403">
        <f>'расчет баланса'!K33</f>
        <v>570</v>
      </c>
    </row>
    <row r="12" spans="1:12" s="390" customFormat="1" ht="15.75">
      <c r="A12" s="387"/>
      <c r="B12" s="323" t="s">
        <v>195</v>
      </c>
      <c r="C12" s="388" t="s">
        <v>47</v>
      </c>
      <c r="D12" s="403">
        <f>'расчет баланса'!D34</f>
        <v>135</v>
      </c>
      <c r="E12" s="403">
        <f>'расчет баланса'!E34</f>
        <v>115</v>
      </c>
      <c r="F12" s="403">
        <f>'расчет баланса'!F34</f>
        <v>110</v>
      </c>
      <c r="G12" s="403" t="e">
        <f>'расчет баланса'!G34</f>
        <v>#REF!</v>
      </c>
      <c r="H12" s="403" t="e">
        <f>'расчет баланса'!H34</f>
        <v>#REF!</v>
      </c>
      <c r="I12" s="403" t="e">
        <f>'расчет баланса'!I34</f>
        <v>#REF!</v>
      </c>
      <c r="J12" s="403" t="e">
        <f>'расчет баланса'!J34</f>
        <v>#REF!</v>
      </c>
      <c r="K12" s="403" t="e">
        <f>'расчет баланса'!K34</f>
        <v>#REF!</v>
      </c>
      <c r="L12" s="389"/>
    </row>
    <row r="13" spans="1:11" s="321" customFormat="1" ht="17.25" customHeight="1">
      <c r="A13" s="391" t="s">
        <v>190</v>
      </c>
      <c r="B13" s="319" t="s">
        <v>81</v>
      </c>
      <c r="C13" s="320" t="s">
        <v>47</v>
      </c>
      <c r="D13" s="402">
        <f>'расчет баланса'!D35</f>
        <v>276</v>
      </c>
      <c r="E13" s="402">
        <f>'расчет баланса'!E35</f>
        <v>236</v>
      </c>
      <c r="F13" s="402">
        <f>'расчет баланса'!F35</f>
        <v>229</v>
      </c>
      <c r="G13" s="402" t="e">
        <f>'расчет баланса'!G35</f>
        <v>#REF!</v>
      </c>
      <c r="H13" s="402" t="e">
        <f>'расчет баланса'!H35</f>
        <v>#REF!</v>
      </c>
      <c r="I13" s="402" t="e">
        <f>'расчет баланса'!I35</f>
        <v>#REF!</v>
      </c>
      <c r="J13" s="402" t="e">
        <f>'расчет баланса'!J35</f>
        <v>#REF!</v>
      </c>
      <c r="K13" s="402" t="e">
        <f>'расчет баланса'!K35</f>
        <v>#REF!</v>
      </c>
    </row>
    <row r="14" spans="1:11" s="321" customFormat="1" ht="32.25" customHeight="1">
      <c r="A14" s="391" t="s">
        <v>191</v>
      </c>
      <c r="B14" s="319" t="s">
        <v>83</v>
      </c>
      <c r="C14" s="320" t="s">
        <v>47</v>
      </c>
      <c r="D14" s="402">
        <f>'расчет баланса'!D36</f>
        <v>360</v>
      </c>
      <c r="E14" s="402">
        <f>'расчет баланса'!E36</f>
        <v>370</v>
      </c>
      <c r="F14" s="402">
        <f>'расчет баланса'!F36</f>
        <v>395</v>
      </c>
      <c r="G14" s="402" t="e">
        <f>'расчет баланса'!G36</f>
        <v>#REF!</v>
      </c>
      <c r="H14" s="402" t="e">
        <f>'расчет баланса'!H36</f>
        <v>#REF!</v>
      </c>
      <c r="I14" s="402" t="e">
        <f>'расчет баланса'!I36</f>
        <v>#REF!</v>
      </c>
      <c r="J14" s="402" t="e">
        <f>'расчет баланса'!J36</f>
        <v>#REF!</v>
      </c>
      <c r="K14" s="402" t="e">
        <f>'расчет баланса'!K36</f>
        <v>#REF!</v>
      </c>
    </row>
    <row r="15" spans="1:11" s="321" customFormat="1" ht="15.75">
      <c r="A15" s="391" t="s">
        <v>193</v>
      </c>
      <c r="B15" s="319" t="s">
        <v>84</v>
      </c>
      <c r="C15" s="320" t="s">
        <v>47</v>
      </c>
      <c r="D15" s="402">
        <f>'расчет баланса'!D37</f>
        <v>49</v>
      </c>
      <c r="E15" s="402">
        <f>'расчет баланса'!E37</f>
        <v>48</v>
      </c>
      <c r="F15" s="402">
        <f>'расчет баланса'!F37</f>
        <v>49</v>
      </c>
      <c r="G15" s="402">
        <f>'расчет баланса'!G37</f>
        <v>49</v>
      </c>
      <c r="H15" s="402">
        <f>'расчет баланса'!H37</f>
        <v>83</v>
      </c>
      <c r="I15" s="402">
        <f>'расчет баланса'!I37</f>
        <v>118</v>
      </c>
      <c r="J15" s="402" t="e">
        <f>'расчет баланса'!J37</f>
        <v>#REF!</v>
      </c>
      <c r="K15" s="402" t="e">
        <f>'расчет баланса'!K37</f>
        <v>#REF!</v>
      </c>
    </row>
    <row r="16" spans="1:11" s="321" customFormat="1" ht="30.75" customHeight="1">
      <c r="A16" s="391" t="s">
        <v>192</v>
      </c>
      <c r="B16" s="319" t="s">
        <v>85</v>
      </c>
      <c r="C16" s="320" t="s">
        <v>47</v>
      </c>
      <c r="D16" s="402">
        <f>'расчет баланса'!D38</f>
        <v>849</v>
      </c>
      <c r="E16" s="402">
        <f>'расчет баланса'!E38</f>
        <v>851</v>
      </c>
      <c r="F16" s="402">
        <f>'расчет баланса'!F38</f>
        <v>863</v>
      </c>
      <c r="G16" s="402">
        <f>'расчет баланса'!G38</f>
        <v>797.63</v>
      </c>
      <c r="H16" s="402">
        <f>'расчет баланса'!H38</f>
        <v>865.3463</v>
      </c>
      <c r="I16" s="402">
        <f>'расчет баланса'!I38</f>
        <v>900.149763</v>
      </c>
      <c r="J16" s="402">
        <f>'расчет баланса'!J38</f>
        <v>1009.04126063</v>
      </c>
      <c r="K16" s="402">
        <f>'расчет баланса'!K38</f>
        <v>1048.0216732363</v>
      </c>
    </row>
    <row r="17" spans="1:11" s="395" customFormat="1" ht="15.75">
      <c r="A17" s="396" t="s">
        <v>99</v>
      </c>
      <c r="B17" s="393" t="s">
        <v>101</v>
      </c>
      <c r="C17" s="394" t="s">
        <v>47</v>
      </c>
      <c r="D17" s="404"/>
      <c r="E17" s="404"/>
      <c r="F17" s="400">
        <f>'расчет баланса'!F43</f>
        <v>1674</v>
      </c>
      <c r="G17" s="400">
        <f>'расчет баланса'!G43</f>
        <v>201</v>
      </c>
      <c r="H17" s="400">
        <f>'расчет баланса'!H43</f>
        <v>203</v>
      </c>
      <c r="I17" s="400">
        <f>'расчет баланса'!I43</f>
        <v>208</v>
      </c>
      <c r="J17" s="400">
        <f>'расчет баланса'!J43</f>
        <v>607</v>
      </c>
      <c r="K17" s="400">
        <f>'расчет баланса'!K43</f>
        <v>705</v>
      </c>
    </row>
    <row r="18" spans="1:11" s="395" customFormat="1" ht="36" customHeight="1">
      <c r="A18" s="396" t="s">
        <v>100</v>
      </c>
      <c r="B18" s="393" t="s">
        <v>94</v>
      </c>
      <c r="C18" s="394" t="s">
        <v>47</v>
      </c>
      <c r="D18" s="400">
        <f>'расчет баланса'!D41</f>
        <v>161</v>
      </c>
      <c r="E18" s="400">
        <f>'расчет баланса'!E41</f>
        <v>299</v>
      </c>
      <c r="F18" s="400">
        <f>'расчет баланса'!F41</f>
        <v>886</v>
      </c>
      <c r="G18" s="400">
        <f>'расчет баланса'!G41</f>
        <v>240</v>
      </c>
      <c r="H18" s="400">
        <f>'расчет баланса'!H41</f>
        <v>192</v>
      </c>
      <c r="I18" s="400">
        <f>'расчет баланса'!I41</f>
        <v>189</v>
      </c>
      <c r="J18" s="400">
        <f>'расчет баланса'!J41</f>
        <v>242.1</v>
      </c>
      <c r="K18" s="400">
        <f>'расчет баланса'!K41</f>
        <v>273.6</v>
      </c>
    </row>
    <row r="19" spans="1:11" s="395" customFormat="1" ht="31.5" customHeight="1">
      <c r="A19" s="396" t="s">
        <v>75</v>
      </c>
      <c r="B19" s="393" t="s">
        <v>96</v>
      </c>
      <c r="C19" s="394" t="s">
        <v>47</v>
      </c>
      <c r="D19" s="404"/>
      <c r="E19" s="404"/>
      <c r="F19" s="400">
        <f>'расчет баланса'!F42</f>
        <v>483</v>
      </c>
      <c r="G19" s="400">
        <f>'расчет баланса'!G42</f>
        <v>220</v>
      </c>
      <c r="H19" s="400">
        <v>220</v>
      </c>
      <c r="I19" s="400">
        <v>220</v>
      </c>
      <c r="J19" s="400">
        <f>'расчет баланса'!J42</f>
        <v>220</v>
      </c>
      <c r="K19" s="400">
        <v>220</v>
      </c>
    </row>
    <row r="20" spans="1:11" s="395" customFormat="1" ht="24" customHeight="1">
      <c r="A20" s="396" t="s">
        <v>77</v>
      </c>
      <c r="B20" s="393" t="s">
        <v>102</v>
      </c>
      <c r="C20" s="394" t="s">
        <v>47</v>
      </c>
      <c r="D20" s="401">
        <f>D7-D8</f>
        <v>5420</v>
      </c>
      <c r="E20" s="401">
        <f aca="true" t="shared" si="0" ref="E20:K20">E7-E8</f>
        <v>5240</v>
      </c>
      <c r="F20" s="401">
        <f t="shared" si="0"/>
        <v>6366</v>
      </c>
      <c r="G20" s="401" t="e">
        <f t="shared" si="0"/>
        <v>#REF!</v>
      </c>
      <c r="H20" s="401" t="e">
        <f t="shared" si="0"/>
        <v>#REF!</v>
      </c>
      <c r="I20" s="401" t="e">
        <f t="shared" si="0"/>
        <v>#REF!</v>
      </c>
      <c r="J20" s="401" t="e">
        <f t="shared" si="0"/>
        <v>#REF!</v>
      </c>
      <c r="K20" s="401" t="e">
        <f t="shared" si="0"/>
        <v>#REF!</v>
      </c>
    </row>
    <row r="23" spans="4:11" ht="22.5" customHeight="1" hidden="1">
      <c r="D23" s="412">
        <f aca="true" t="shared" si="1" ref="D23:K23">D18/D7*100</f>
        <v>1.6856873625798345</v>
      </c>
      <c r="E23" s="412">
        <f t="shared" si="1"/>
        <v>3.208154506437768</v>
      </c>
      <c r="F23" s="412">
        <f t="shared" si="1"/>
        <v>9.683060109289618</v>
      </c>
      <c r="G23" s="412">
        <f t="shared" si="1"/>
        <v>2.6345041498225505</v>
      </c>
      <c r="H23" s="412">
        <f t="shared" si="1"/>
        <v>2.1105170571666</v>
      </c>
      <c r="I23" s="412">
        <f t="shared" si="1"/>
        <v>2.0764466420301204</v>
      </c>
      <c r="J23" s="412">
        <f t="shared" si="1"/>
        <v>2.6498908715766394</v>
      </c>
      <c r="K23" s="412">
        <f t="shared" si="1"/>
        <v>2.9856692105198315</v>
      </c>
    </row>
    <row r="24" spans="4:11" ht="12.75">
      <c r="D24" s="316"/>
      <c r="E24" s="316"/>
      <c r="F24" s="316"/>
      <c r="G24" s="316"/>
      <c r="H24" s="316"/>
      <c r="I24" s="316"/>
      <c r="J24" s="316"/>
      <c r="K24" s="316"/>
    </row>
    <row r="25" spans="5:11" ht="12.75">
      <c r="E25" s="457"/>
      <c r="F25" s="457"/>
      <c r="G25" s="457"/>
      <c r="H25" s="457"/>
      <c r="I25" s="457"/>
      <c r="J25" s="457"/>
      <c r="K25" s="457"/>
    </row>
    <row r="26" spans="5:11" ht="12.75">
      <c r="E26" s="457"/>
      <c r="F26" s="457"/>
      <c r="G26" s="457"/>
      <c r="H26" s="457"/>
      <c r="I26" s="457"/>
      <c r="J26" s="457"/>
      <c r="K26" s="457"/>
    </row>
  </sheetData>
  <sheetProtection/>
  <mergeCells count="6">
    <mergeCell ref="A9:K9"/>
    <mergeCell ref="B1:K1"/>
    <mergeCell ref="A3:A5"/>
    <mergeCell ref="B3:B5"/>
    <mergeCell ref="C3:C5"/>
    <mergeCell ref="D3:K4"/>
  </mergeCells>
  <printOptions/>
  <pageMargins left="0.61" right="0.17" top="0.38" bottom="0.31" header="0.17" footer="0.5"/>
  <pageSetup horizontalDpi="600" verticalDpi="600" orientation="landscape" paperSize="9" scale="10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T11"/>
  <sheetViews>
    <sheetView zoomScale="75" zoomScaleNormal="75" zoomScalePageLayoutView="0" workbookViewId="0" topLeftCell="D1">
      <selection activeCell="N27" sqref="N27"/>
    </sheetView>
  </sheetViews>
  <sheetFormatPr defaultColWidth="9.00390625" defaultRowHeight="12.75"/>
  <cols>
    <col min="1" max="1" width="6.75390625" style="0" customWidth="1"/>
    <col min="2" max="2" width="25.875" style="0" customWidth="1"/>
    <col min="3" max="3" width="40.875" style="0" customWidth="1"/>
    <col min="4" max="4" width="12.00390625" style="0" customWidth="1"/>
    <col min="5" max="5" width="11.625" style="0" bestFit="1" customWidth="1"/>
    <col min="6" max="6" width="10.875" style="0" customWidth="1"/>
    <col min="7" max="7" width="8.75390625" style="0" customWidth="1"/>
    <col min="8" max="8" width="7.25390625" style="0" customWidth="1"/>
    <col min="9" max="9" width="11.625" style="0" bestFit="1" customWidth="1"/>
    <col min="10" max="10" width="12.875" style="0" bestFit="1" customWidth="1"/>
    <col min="11" max="11" width="11.625" style="0" bestFit="1" customWidth="1"/>
    <col min="12" max="12" width="11.125" style="0" customWidth="1"/>
    <col min="13" max="13" width="18.125" style="0" customWidth="1"/>
    <col min="14" max="14" width="12.625" style="0" customWidth="1"/>
    <col min="15" max="15" width="16.375" style="0" customWidth="1"/>
    <col min="16" max="16" width="0" style="0" hidden="1" customWidth="1"/>
    <col min="17" max="17" width="8.125" style="0" customWidth="1"/>
    <col min="18" max="18" width="8.875" style="0" customWidth="1"/>
    <col min="19" max="19" width="7.875" style="0" customWidth="1"/>
    <col min="20" max="20" width="7.625" style="0" customWidth="1"/>
  </cols>
  <sheetData>
    <row r="2" spans="1:20" ht="15">
      <c r="A2" s="932" t="s">
        <v>377</v>
      </c>
      <c r="B2" s="926" t="s">
        <v>374</v>
      </c>
      <c r="C2" s="926" t="s">
        <v>392</v>
      </c>
      <c r="D2" s="926" t="s">
        <v>372</v>
      </c>
      <c r="E2" s="910" t="s">
        <v>385</v>
      </c>
      <c r="F2" s="910"/>
      <c r="G2" s="910"/>
      <c r="H2" s="910"/>
      <c r="I2" s="910"/>
      <c r="J2" s="910"/>
      <c r="K2" s="910"/>
      <c r="L2" s="887" t="s">
        <v>786</v>
      </c>
      <c r="M2" s="931" t="s">
        <v>432</v>
      </c>
      <c r="N2" s="925" t="s">
        <v>398</v>
      </c>
      <c r="O2" s="923" t="s">
        <v>433</v>
      </c>
      <c r="P2" s="924" t="s">
        <v>680</v>
      </c>
      <c r="Q2" s="925" t="s">
        <v>387</v>
      </c>
      <c r="R2" s="925"/>
      <c r="S2" s="925"/>
      <c r="T2" s="925"/>
    </row>
    <row r="3" spans="1:20" ht="81">
      <c r="A3" s="866"/>
      <c r="B3" s="926"/>
      <c r="C3" s="926"/>
      <c r="D3" s="926"/>
      <c r="E3" s="70" t="s">
        <v>386</v>
      </c>
      <c r="F3" s="70" t="s">
        <v>376</v>
      </c>
      <c r="G3" s="70" t="s">
        <v>375</v>
      </c>
      <c r="H3" s="70" t="s">
        <v>373</v>
      </c>
      <c r="I3" s="71" t="s">
        <v>382</v>
      </c>
      <c r="J3" s="71" t="s">
        <v>480</v>
      </c>
      <c r="K3" s="71" t="s">
        <v>383</v>
      </c>
      <c r="L3" s="887"/>
      <c r="M3" s="931"/>
      <c r="N3" s="925"/>
      <c r="O3" s="923"/>
      <c r="P3" s="924"/>
      <c r="Q3" s="111" t="s">
        <v>388</v>
      </c>
      <c r="R3" s="111" t="s">
        <v>389</v>
      </c>
      <c r="S3" s="111" t="s">
        <v>390</v>
      </c>
      <c r="T3" s="111" t="s">
        <v>391</v>
      </c>
    </row>
    <row r="4" spans="1:20" ht="12.75">
      <c r="A4" s="920"/>
      <c r="B4" s="921" t="s">
        <v>435</v>
      </c>
      <c r="C4" s="921"/>
      <c r="D4" s="21">
        <v>2010</v>
      </c>
      <c r="E4" s="23">
        <f>'ПАСПОРТ до 11'!E6+'ПАСПОРТ до 12'!E6+'ПАСПОРТ до 14'!E6</f>
        <v>2729.695</v>
      </c>
      <c r="F4" s="23">
        <f>'ПАСПОРТ до 11'!F6+'ПАСПОРТ до 12'!F6+'ПАСПОРТ до 14'!F6</f>
        <v>452.20000000000005</v>
      </c>
      <c r="G4" s="23">
        <f>'ПАСПОРТ до 11'!G6+'ПАСПОРТ до 12'!G6+'ПАСПОРТ до 14'!G6</f>
        <v>47.985</v>
      </c>
      <c r="H4" s="23">
        <f>'ПАСПОРТ до 11'!H6+'ПАСПОРТ до 12'!H6+'ПАСПОРТ до 14'!H6</f>
        <v>11.600000000000001</v>
      </c>
      <c r="I4" s="23">
        <f>'ПАСПОРТ до 11'!I6+'ПАСПОРТ до 12'!I6+'ПАСПОРТ до 14'!I6</f>
        <v>1702.31</v>
      </c>
      <c r="J4" s="23">
        <f>'ПАСПОРТ до 11'!J6+'ПАСПОРТ до 12'!J6+'ПАСПОРТ до 14'!J6</f>
        <v>465.6</v>
      </c>
      <c r="K4" s="23">
        <f>'ПАСПОРТ до 11'!K6+'ПАСПОРТ до 12'!K6+'ПАСПОРТ до 14'!K6</f>
        <v>50</v>
      </c>
      <c r="L4" s="922"/>
      <c r="M4" s="922"/>
      <c r="N4" s="79">
        <f>'ПАСПОРТ до 11'!N6+'ПАСПОРТ до 12'!N6+'ПАСПОРТ до 14'!N6</f>
        <v>1386.301725</v>
      </c>
      <c r="O4" s="79">
        <f>'ПАСПОРТ до 11'!O6+'ПАСПОРТ до 12'!O6+'ПАСПОРТ до 14'!O6</f>
        <v>2045.83</v>
      </c>
      <c r="P4" s="79">
        <f>'ПАСПОРТ до 11'!P6+'ПАСПОРТ до 12'!P6+'ПАСПОРТ до 14'!P6</f>
        <v>0</v>
      </c>
      <c r="Q4" s="79">
        <f>'ПАСПОРТ до 11'!Q6+'ПАСПОРТ до 12'!Q6+'ПАСПОРТ до 14'!Q6</f>
        <v>1120.742339917</v>
      </c>
      <c r="R4" s="79">
        <f>'ПАСПОРТ до 11'!R6+'ПАСПОРТ до 12'!R6+'ПАСПОРТ до 14'!R6</f>
        <v>727.3531795000001</v>
      </c>
      <c r="S4" s="79">
        <f>'ПАСПОРТ до 11'!S6+'ПАСПОРТ до 12'!S6+'ПАСПОРТ до 14'!S6</f>
        <v>333.8565122919</v>
      </c>
      <c r="T4" s="79">
        <f>'ПАСПОРТ до 11'!T6+'ПАСПОРТ до 12'!T6+'ПАСПОРТ до 14'!T6</f>
        <v>59.532648125099996</v>
      </c>
    </row>
    <row r="5" spans="1:20" ht="12.75">
      <c r="A5" s="920"/>
      <c r="B5" s="921"/>
      <c r="C5" s="921"/>
      <c r="D5" s="21">
        <v>2011</v>
      </c>
      <c r="E5" s="23">
        <f>'ПАСПОРТ до 11'!E7+'ПАСПОРТ до 12'!E7+'ПАСПОРТ до 14'!E7</f>
        <v>3454.9544444444446</v>
      </c>
      <c r="F5" s="23">
        <f>'ПАСПОРТ до 11'!F7+'ПАСПОРТ до 12'!F7+'ПАСПОРТ до 14'!F7</f>
        <v>885.0483333333333</v>
      </c>
      <c r="G5" s="23">
        <f>'ПАСПОРТ до 11'!G7+'ПАСПОРТ до 12'!G7+'ПАСПОРТ до 14'!G7</f>
        <v>18.61111111111111</v>
      </c>
      <c r="H5" s="23">
        <f>'ПАСПОРТ до 11'!H7+'ПАСПОРТ до 12'!H7+'ПАСПОРТ до 14'!H7</f>
        <v>26.71</v>
      </c>
      <c r="I5" s="23">
        <f>'ПАСПОРТ до 11'!I7+'ПАСПОРТ до 12'!I7+'ПАСПОРТ до 14'!I7</f>
        <v>1497.285</v>
      </c>
      <c r="J5" s="23">
        <f>'ПАСПОРТ до 11'!J7+'ПАСПОРТ до 12'!J7+'ПАСПОРТ до 14'!J7</f>
        <v>997.3</v>
      </c>
      <c r="K5" s="23">
        <f>'ПАСПОРТ до 11'!K7+'ПАСПОРТ до 12'!K7+'ПАСПОРТ до 14'!K7</f>
        <v>30</v>
      </c>
      <c r="L5" s="922"/>
      <c r="M5" s="922"/>
      <c r="N5" s="79">
        <f>'ПАСПОРТ до 11'!N7+'ПАСПОРТ до 12'!N7+'ПАСПОРТ до 14'!N7</f>
        <v>1524.4540499999998</v>
      </c>
      <c r="O5" s="79">
        <f>'ПАСПОРТ до 11'!O7+'ПАСПОРТ до 12'!O7+'ПАСПОРТ до 14'!O7</f>
        <v>1136.9050000000002</v>
      </c>
      <c r="P5" s="79">
        <f>'ПАСПОРТ до 11'!P7+'ПАСПОРТ до 12'!P7+'ПАСПОРТ до 14'!P7</f>
        <v>0</v>
      </c>
      <c r="Q5" s="79">
        <f>'ПАСПОРТ до 11'!Q7+'ПАСПОРТ до 12'!Q7+'ПАСПОРТ до 14'!Q7</f>
        <v>1256.9757368379999</v>
      </c>
      <c r="R5" s="79">
        <f>'ПАСПОРТ до 11'!R7+'ПАСПОРТ до 12'!R7+'ПАСПОРТ до 14'!R7</f>
        <v>847.1912068</v>
      </c>
      <c r="S5" s="79">
        <f>'ПАСПОРТ до 11'!S7+'ПАСПОРТ до 12'!S7+'ПАСПОРТ до 14'!S7</f>
        <v>346.3028590266</v>
      </c>
      <c r="T5" s="79">
        <f>'ПАСПОРТ до 11'!T7+'ПАСПОРТ до 12'!T7+'ПАСПОРТ до 14'!T7</f>
        <v>63.481671011399996</v>
      </c>
    </row>
    <row r="6" spans="1:20" ht="12.75">
      <c r="A6" s="920"/>
      <c r="B6" s="921"/>
      <c r="C6" s="921"/>
      <c r="D6" s="21">
        <v>2012</v>
      </c>
      <c r="E6" s="23">
        <f>'ПАСПОРТ до 11'!E8+'ПАСПОРТ до 12'!E8+'ПАСПОРТ до 14'!E8</f>
        <v>2913.4744444444445</v>
      </c>
      <c r="F6" s="23">
        <f>'ПАСПОРТ до 11'!F8+'ПАСПОРТ до 12'!F8+'ПАСПОРТ до 14'!F8</f>
        <v>888.0649999999999</v>
      </c>
      <c r="G6" s="23">
        <f>'ПАСПОРТ до 11'!G8+'ПАСПОРТ до 12'!G8+'ПАСПОРТ до 14'!G8</f>
        <v>12.111111111111112</v>
      </c>
      <c r="H6" s="23">
        <f>'ПАСПОРТ до 11'!H8+'ПАСПОРТ до 12'!H8+'ПАСПОРТ до 14'!H8</f>
        <v>28.81</v>
      </c>
      <c r="I6" s="23">
        <f>'ПАСПОРТ до 11'!I8+'ПАСПОРТ до 12'!I8+'ПАСПОРТ до 14'!I8</f>
        <v>1519.855</v>
      </c>
      <c r="J6" s="23">
        <f>'ПАСПОРТ до 11'!J8+'ПАСПОРТ до 12'!J8+'ПАСПОРТ до 14'!J8</f>
        <v>464.59999999999997</v>
      </c>
      <c r="K6" s="23">
        <f>'ПАСПОРТ до 11'!K8+'ПАСПОРТ до 12'!K8+'ПАСПОРТ до 14'!K8</f>
        <v>0</v>
      </c>
      <c r="L6" s="922"/>
      <c r="M6" s="922"/>
      <c r="N6" s="79">
        <f>'ПАСПОРТ до 11'!N8+'ПАСПОРТ до 12'!N8+'ПАСПОРТ до 14'!N8</f>
        <v>1705.8129</v>
      </c>
      <c r="O6" s="79">
        <f>'ПАСПОРТ до 11'!O8+'ПАСПОРТ до 12'!O8+'ПАСПОРТ до 14'!O8</f>
        <v>770.0575</v>
      </c>
      <c r="P6" s="79">
        <f>'ПАСПОРТ до 11'!P8+'ПАСПОРТ до 12'!P8+'ПАСПОРТ до 14'!P8</f>
        <v>0</v>
      </c>
      <c r="Q6" s="79">
        <f>'ПАСПОРТ до 11'!Q8+'ПАСПОРТ до 12'!Q8+'ПАСПОРТ до 14'!Q8</f>
        <v>1309.3213899296002</v>
      </c>
      <c r="R6" s="79">
        <f>'ПАСПОРТ до 11'!R8+'ПАСПОРТ до 12'!R8+'ПАСПОРТ до 14'!R8</f>
        <v>865.1204101456001</v>
      </c>
      <c r="S6" s="79">
        <f>'ПАСПОРТ до 11'!S8+'ПАСПОРТ до 12'!S8+'ПАСПОРТ до 14'!S8</f>
        <v>380.40438184879997</v>
      </c>
      <c r="T6" s="79">
        <f>'ПАСПОРТ до 11'!T8+'ПАСПОРТ до 12'!T8+'ПАСПОРТ до 14'!T8</f>
        <v>63.79659793519999</v>
      </c>
    </row>
    <row r="7" spans="1:20" ht="12.75">
      <c r="A7" s="920"/>
      <c r="B7" s="921"/>
      <c r="C7" s="921"/>
      <c r="D7" s="21">
        <v>2013</v>
      </c>
      <c r="E7" s="23">
        <f>'ПАСПОРТ до 11'!E9+'ПАСПОРТ до 12'!E9+'ПАСПОРТ до 14'!E9</f>
        <v>3884.22</v>
      </c>
      <c r="F7" s="23">
        <f>'ПАСПОРТ до 11'!F9+'ПАСПОРТ до 12'!F9+'ПАСПОРТ до 14'!F9</f>
        <v>1388.7649999999999</v>
      </c>
      <c r="G7" s="23">
        <f>'ПАСПОРТ до 11'!G9+'ПАСПОРТ до 12'!G9+'ПАСПОРТ до 14'!G9</f>
        <v>550.65</v>
      </c>
      <c r="H7" s="23">
        <f>'ПАСПОРТ до 11'!H9+'ПАСПОРТ до 12'!H9+'ПАСПОРТ до 14'!H9</f>
        <v>36.37</v>
      </c>
      <c r="I7" s="23">
        <f>'ПАСПОРТ до 11'!I9+'ПАСПОРТ до 12'!I9+'ПАСПОРТ до 14'!I9</f>
        <v>1504.035</v>
      </c>
      <c r="J7" s="23">
        <f>'ПАСПОРТ до 11'!J9+'ПАСПОРТ до 12'!J9+'ПАСПОРТ до 14'!J9</f>
        <v>404.4</v>
      </c>
      <c r="K7" s="23">
        <f>'ПАСПОРТ до 11'!K9+'ПАСПОРТ до 12'!K9+'ПАСПОРТ до 14'!K9</f>
        <v>0</v>
      </c>
      <c r="L7" s="922"/>
      <c r="M7" s="922"/>
      <c r="N7" s="79">
        <f>'ПАСПОРТ до 11'!N9+'ПАСПОРТ до 12'!N9+'ПАСПОРТ до 14'!N9</f>
        <v>1846.54385</v>
      </c>
      <c r="O7" s="79">
        <f>'ПАСПОРТ до 11'!O9+'ПАСПОРТ до 12'!O9+'ПАСПОРТ до 14'!O9</f>
        <v>675.7525</v>
      </c>
      <c r="P7" s="79">
        <f>'ПАСПОРТ до 11'!P9+'ПАСПОРТ до 12'!P9+'ПАСПОРТ до 14'!P9</f>
        <v>0</v>
      </c>
      <c r="Q7" s="79">
        <f>'ПАСПОРТ до 11'!Q9+'ПАСПОРТ до 12'!Q9+'ПАСПОРТ до 14'!Q9</f>
        <v>1377.0453144328799</v>
      </c>
      <c r="R7" s="79">
        <f>'ПАСПОРТ до 11'!R9+'ПАСПОРТ до 12'!R9+'ПАСПОРТ до 14'!R9</f>
        <v>909.73415320288</v>
      </c>
      <c r="S7" s="79">
        <f>'ПАСПОРТ до 11'!S9+'ПАСПОРТ до 12'!S9+'ПАСПОРТ до 14'!S9</f>
        <v>404.848708861</v>
      </c>
      <c r="T7" s="79">
        <f>'ПАСПОРТ до 11'!T9+'ПАСПОРТ до 12'!T9+'ПАСПОРТ до 14'!T9</f>
        <v>62.46245236899999</v>
      </c>
    </row>
    <row r="8" spans="1:20" ht="12.75">
      <c r="A8" s="920"/>
      <c r="B8" s="921"/>
      <c r="C8" s="921"/>
      <c r="D8" s="21">
        <v>2014</v>
      </c>
      <c r="E8" s="23">
        <f>'ПАСПОРТ до 11'!E10+'ПАСПОРТ до 12'!E10+'ПАСПОРТ до 14'!E10</f>
        <v>3853.6616666666664</v>
      </c>
      <c r="F8" s="23">
        <f>'ПАСПОРТ до 11'!F10+'ПАСПОРТ до 12'!F10+'ПАСПОРТ до 14'!F10</f>
        <v>1543.2316666666666</v>
      </c>
      <c r="G8" s="23">
        <f>'ПАСПОРТ до 11'!G10+'ПАСПОРТ до 12'!G10+'ПАСПОРТ до 14'!G10</f>
        <v>564.8</v>
      </c>
      <c r="H8" s="23">
        <f>'ПАСПОРТ до 11'!H10+'ПАСПОРТ до 12'!H10+'ПАСПОРТ до 14'!H10</f>
        <v>34.445</v>
      </c>
      <c r="I8" s="23">
        <f>'ПАСПОРТ до 11'!I10+'ПАСПОРТ до 12'!I10+'ПАСПОРТ до 14'!I10</f>
        <v>1306.785</v>
      </c>
      <c r="J8" s="23">
        <f>'ПАСПОРТ до 11'!J10+'ПАСПОРТ до 12'!J10+'ПАСПОРТ до 14'!J10</f>
        <v>404.4</v>
      </c>
      <c r="K8" s="23">
        <f>'ПАСПОРТ до 11'!K10+'ПАСПОРТ до 12'!K10+'ПАСПОРТ до 14'!K10</f>
        <v>0</v>
      </c>
      <c r="L8" s="922"/>
      <c r="M8" s="922"/>
      <c r="N8" s="79">
        <f>'ПАСПОРТ до 11'!N10+'ПАСПОРТ до 12'!N10+'ПАСПОРТ до 14'!N10</f>
        <v>1864.0782249999997</v>
      </c>
      <c r="O8" s="79">
        <f>'ПАСПОРТ до 11'!O10+'ПАСПОРТ до 12'!O10+'ПАСПОРТ до 14'!O10</f>
        <v>699.8775</v>
      </c>
      <c r="P8" s="79">
        <f>'ПАСПОРТ до 11'!P10+'ПАСПОРТ до 12'!P10+'ПАСПОРТ до 14'!P10</f>
        <v>0</v>
      </c>
      <c r="Q8" s="79">
        <f>'ПАСПОРТ до 11'!Q10+'ПАСПОРТ до 12'!Q10+'ПАСПОРТ до 14'!Q10</f>
        <v>1368.3920774186</v>
      </c>
      <c r="R8" s="79">
        <f>'ПАСПОРТ до 11'!R10+'ПАСПОРТ до 12'!R10+'ПАСПОРТ до 14'!R10</f>
        <v>910.1163045000001</v>
      </c>
      <c r="S8" s="79">
        <f>'ПАСПОРТ до 11'!S10+'ПАСПОРТ до 12'!S10+'ПАСПОРТ до 14'!S10</f>
        <v>404.01963704302</v>
      </c>
      <c r="T8" s="79">
        <f>'ПАСПОРТ до 11'!T10+'ПАСПОРТ до 12'!T10+'ПАСПОРТ до 14'!T10</f>
        <v>66.25613587558</v>
      </c>
    </row>
    <row r="9" spans="1:20" ht="12.75">
      <c r="A9" s="920"/>
      <c r="B9" s="921"/>
      <c r="C9" s="921"/>
      <c r="D9" s="21" t="s">
        <v>378</v>
      </c>
      <c r="E9" s="23">
        <f>SUM(E4:E8)</f>
        <v>16836.005555555555</v>
      </c>
      <c r="F9" s="23">
        <f aca="true" t="shared" si="0" ref="F9:K9">SUM(F4:F8)</f>
        <v>5157.3099999999995</v>
      </c>
      <c r="G9" s="23">
        <f t="shared" si="0"/>
        <v>1194.1572222222221</v>
      </c>
      <c r="H9" s="23">
        <f t="shared" si="0"/>
        <v>137.935</v>
      </c>
      <c r="I9" s="23">
        <f t="shared" si="0"/>
        <v>7530.27</v>
      </c>
      <c r="J9" s="23">
        <f t="shared" si="0"/>
        <v>2736.3</v>
      </c>
      <c r="K9" s="23">
        <f t="shared" si="0"/>
        <v>80</v>
      </c>
      <c r="L9" s="922"/>
      <c r="M9" s="922"/>
      <c r="N9" s="79">
        <f>SUM(N4:N8)</f>
        <v>8327.19075</v>
      </c>
      <c r="O9" s="79">
        <f aca="true" t="shared" si="1" ref="O9:T9">SUM(O4:O8)</f>
        <v>5328.422500000001</v>
      </c>
      <c r="P9" s="79">
        <f t="shared" si="1"/>
        <v>0</v>
      </c>
      <c r="Q9" s="79">
        <f t="shared" si="1"/>
        <v>6432.47685853608</v>
      </c>
      <c r="R9" s="79">
        <f t="shared" si="1"/>
        <v>4259.51525414848</v>
      </c>
      <c r="S9" s="79">
        <f t="shared" si="1"/>
        <v>1869.43209907132</v>
      </c>
      <c r="T9" s="79">
        <f t="shared" si="1"/>
        <v>315.52950531628</v>
      </c>
    </row>
    <row r="11" spans="5:20" ht="12.75">
      <c r="E11" s="385" t="e">
        <f>E9-#REF!</f>
        <v>#REF!</v>
      </c>
      <c r="F11" s="385" t="e">
        <f>F9-#REF!</f>
        <v>#REF!</v>
      </c>
      <c r="G11" s="385" t="e">
        <f>G9-#REF!</f>
        <v>#REF!</v>
      </c>
      <c r="H11" s="385" t="e">
        <f>H9-#REF!</f>
        <v>#REF!</v>
      </c>
      <c r="I11" s="385" t="e">
        <f>I9-#REF!</f>
        <v>#REF!</v>
      </c>
      <c r="J11" s="385" t="e">
        <f>J9-#REF!</f>
        <v>#REF!</v>
      </c>
      <c r="K11" s="385" t="e">
        <f>K9-#REF!</f>
        <v>#REF!</v>
      </c>
      <c r="N11" s="385" t="e">
        <f>N9-#REF!</f>
        <v>#REF!</v>
      </c>
      <c r="O11" s="385" t="e">
        <f>O9-#REF!</f>
        <v>#REF!</v>
      </c>
      <c r="P11" s="385" t="e">
        <f>P9-#REF!</f>
        <v>#REF!</v>
      </c>
      <c r="Q11" s="385" t="e">
        <f>Q9-#REF!</f>
        <v>#REF!</v>
      </c>
      <c r="R11" s="385" t="e">
        <f>R9-#REF!</f>
        <v>#REF!</v>
      </c>
      <c r="S11" s="385" t="e">
        <f>S9-#REF!</f>
        <v>#REF!</v>
      </c>
      <c r="T11" s="385" t="e">
        <f>T9-#REF!</f>
        <v>#REF!</v>
      </c>
    </row>
  </sheetData>
  <sheetProtection/>
  <mergeCells count="15">
    <mergeCell ref="A4:A9"/>
    <mergeCell ref="B4:C9"/>
    <mergeCell ref="L4:L9"/>
    <mergeCell ref="M4:M9"/>
    <mergeCell ref="E2:K2"/>
    <mergeCell ref="L2:L3"/>
    <mergeCell ref="M2:M3"/>
    <mergeCell ref="A2:A3"/>
    <mergeCell ref="B2:B3"/>
    <mergeCell ref="C2:C3"/>
    <mergeCell ref="D2:D3"/>
    <mergeCell ref="P2:P3"/>
    <mergeCell ref="Q2:T2"/>
    <mergeCell ref="N2:N3"/>
    <mergeCell ref="O2:O3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44"/>
  <sheetViews>
    <sheetView zoomScalePageLayoutView="0" workbookViewId="0" topLeftCell="A16">
      <selection activeCell="L44" sqref="L44"/>
    </sheetView>
  </sheetViews>
  <sheetFormatPr defaultColWidth="9.00390625" defaultRowHeight="12.75"/>
  <cols>
    <col min="9" max="10" width="0" style="0" hidden="1" customWidth="1"/>
    <col min="11" max="11" width="12.375" style="0" customWidth="1"/>
    <col min="12" max="12" width="9.125" style="362" customWidth="1"/>
  </cols>
  <sheetData>
    <row r="1" spans="1:16" ht="41.25" customHeight="1">
      <c r="A1" s="926" t="s">
        <v>372</v>
      </c>
      <c r="B1" s="910" t="s">
        <v>385</v>
      </c>
      <c r="C1" s="910"/>
      <c r="D1" s="910"/>
      <c r="E1" s="910"/>
      <c r="F1" s="910"/>
      <c r="G1" s="910"/>
      <c r="H1" s="910"/>
      <c r="I1" s="1048" t="s">
        <v>786</v>
      </c>
      <c r="J1" s="931" t="s">
        <v>432</v>
      </c>
      <c r="K1" s="925" t="s">
        <v>398</v>
      </c>
      <c r="L1" s="1047" t="s">
        <v>433</v>
      </c>
      <c r="M1" s="925" t="s">
        <v>387</v>
      </c>
      <c r="N1" s="925"/>
      <c r="O1" s="925"/>
      <c r="P1" s="925"/>
    </row>
    <row r="2" spans="1:16" ht="116.25">
      <c r="A2" s="926"/>
      <c r="B2" s="70" t="s">
        <v>386</v>
      </c>
      <c r="C2" s="70" t="s">
        <v>376</v>
      </c>
      <c r="D2" s="70" t="s">
        <v>375</v>
      </c>
      <c r="E2" s="70" t="s">
        <v>373</v>
      </c>
      <c r="F2" s="71" t="s">
        <v>382</v>
      </c>
      <c r="G2" s="71" t="s">
        <v>480</v>
      </c>
      <c r="H2" s="71" t="s">
        <v>383</v>
      </c>
      <c r="I2" s="1048"/>
      <c r="J2" s="931"/>
      <c r="K2" s="925"/>
      <c r="L2" s="1047"/>
      <c r="M2" s="111" t="s">
        <v>388</v>
      </c>
      <c r="N2" s="111" t="s">
        <v>389</v>
      </c>
      <c r="O2" s="111" t="s">
        <v>390</v>
      </c>
      <c r="P2" s="111" t="s">
        <v>391</v>
      </c>
    </row>
    <row r="3" spans="1:12" s="363" customFormat="1" ht="12.75">
      <c r="A3" s="363" t="s">
        <v>132</v>
      </c>
      <c r="L3" s="371"/>
    </row>
    <row r="4" spans="1:16" ht="12.75">
      <c r="A4">
        <f>'ПАСПОРТ до 11'!D6</f>
        <v>2010</v>
      </c>
      <c r="B4" s="361">
        <f>'ПАСПОРТ до 11'!E6</f>
        <v>1698.985</v>
      </c>
      <c r="C4" s="361">
        <f>'ПАСПОРТ до 11'!F6</f>
        <v>229.5</v>
      </c>
      <c r="D4" s="361">
        <f>'ПАСПОРТ до 11'!G6</f>
        <v>32.485</v>
      </c>
      <c r="E4" s="361">
        <f>'ПАСПОРТ до 11'!H6</f>
        <v>5.8</v>
      </c>
      <c r="F4" s="361">
        <f>'ПАСПОРТ до 11'!I6</f>
        <v>1122.6999999999998</v>
      </c>
      <c r="G4" s="361">
        <f>'ПАСПОРТ до 11'!J6</f>
        <v>258.5</v>
      </c>
      <c r="H4" s="361">
        <f>'ПАСПОРТ до 11'!K6</f>
        <v>50</v>
      </c>
      <c r="I4" s="361">
        <f>'ПАСПОРТ до 11'!L6</f>
        <v>0</v>
      </c>
      <c r="J4" s="361">
        <f>'ПАСПОРТ до 11'!M6</f>
        <v>0</v>
      </c>
      <c r="K4" s="361">
        <f>'ПАСПОРТ до 11'!N6</f>
        <v>400.13292499999994</v>
      </c>
      <c r="L4" s="372">
        <f>'ПАСПОРТ до 11'!O6</f>
        <v>1048.3</v>
      </c>
      <c r="M4" s="361">
        <f>'ПАСПОРТ до 11'!Q6</f>
        <v>376.93974320499996</v>
      </c>
      <c r="N4" s="361">
        <f>'ПАСПОРТ до 11'!R6</f>
        <v>251.96890350000004</v>
      </c>
      <c r="O4" s="361">
        <f>'ПАСПОРТ до 11'!S6</f>
        <v>106.7728877935</v>
      </c>
      <c r="P4" s="361">
        <f>'ПАСПОРТ до 11'!T6</f>
        <v>18.1979519115</v>
      </c>
    </row>
    <row r="5" spans="1:16" ht="12.75">
      <c r="A5">
        <f>'ПАСПОРТ до 11'!D7</f>
        <v>2011</v>
      </c>
      <c r="B5" s="361">
        <f>'ПАСПОРТ до 11'!E7</f>
        <v>650.9</v>
      </c>
      <c r="C5" s="361">
        <f>'ПАСПОРТ до 11'!F7</f>
        <v>0</v>
      </c>
      <c r="D5" s="361">
        <f>'ПАСПОРТ до 11'!G7</f>
        <v>6.5</v>
      </c>
      <c r="E5" s="361">
        <f>'ПАСПОРТ до 11'!H7</f>
        <v>4.3</v>
      </c>
      <c r="F5" s="361">
        <f>'ПАСПОРТ до 11'!I7</f>
        <v>72.79999999999998</v>
      </c>
      <c r="G5" s="361">
        <f>'ПАСПОРТ до 11'!J7</f>
        <v>537.3</v>
      </c>
      <c r="H5" s="361">
        <f>'ПАСПОРТ до 11'!K7</f>
        <v>30</v>
      </c>
      <c r="I5" s="361">
        <f>'ПАСПОРТ до 11'!L7</f>
        <v>0</v>
      </c>
      <c r="J5" s="361">
        <f>'ПАСПОРТ до 11'!M7</f>
        <v>0</v>
      </c>
      <c r="K5" s="361">
        <f>'ПАСПОРТ до 11'!N7</f>
        <v>407.6914999999999</v>
      </c>
      <c r="L5" s="372">
        <f>'ПАСПОРТ до 11'!O7</f>
        <v>118.65</v>
      </c>
      <c r="M5" s="361">
        <f>'ПАСПОРТ до 11'!Q7</f>
        <v>385.422554576</v>
      </c>
      <c r="N5" s="361">
        <f>'ПАСПОРТ до 11'!R7</f>
        <v>259.8855557999999</v>
      </c>
      <c r="O5" s="361">
        <f>'ПАСПОРТ до 11'!S7</f>
        <v>108.0805871432</v>
      </c>
      <c r="P5" s="361">
        <f>'ПАСПОРТ до 11'!T7</f>
        <v>17.4564116328</v>
      </c>
    </row>
    <row r="6" spans="1:16" ht="12.75">
      <c r="A6">
        <f>'ПАСПОРТ до 11'!D8</f>
        <v>2012</v>
      </c>
      <c r="B6" s="361">
        <f>'ПАСПОРТ до 11'!E8</f>
        <v>0</v>
      </c>
      <c r="C6" s="361">
        <f>'ПАСПОРТ до 11'!F8</f>
        <v>0</v>
      </c>
      <c r="D6" s="361">
        <f>'ПАСПОРТ до 11'!G8</f>
        <v>0</v>
      </c>
      <c r="E6" s="361">
        <f>'ПАСПОРТ до 11'!H8</f>
        <v>0</v>
      </c>
      <c r="F6" s="361">
        <f>'ПАСПОРТ до 11'!I8</f>
        <v>0</v>
      </c>
      <c r="G6" s="361">
        <f>'ПАСПОРТ до 11'!J8</f>
        <v>0</v>
      </c>
      <c r="H6" s="361">
        <f>'ПАСПОРТ до 11'!K8</f>
        <v>0</v>
      </c>
      <c r="I6" s="361">
        <f>'ПАСПОРТ до 11'!L8</f>
        <v>0</v>
      </c>
      <c r="J6" s="361">
        <f>'ПАСПОРТ до 11'!M8</f>
        <v>0</v>
      </c>
      <c r="K6" s="361">
        <f>'ПАСПОРТ до 11'!N8</f>
        <v>413.04999999999995</v>
      </c>
      <c r="L6" s="372">
        <f>'ПАСПОРТ до 11'!O8</f>
        <v>21</v>
      </c>
      <c r="M6" s="361">
        <f>'ПАСПОРТ до 11'!Q8</f>
        <v>401.47080257760007</v>
      </c>
      <c r="N6" s="361">
        <f>'ПАСПОРТ до 11'!R8</f>
        <v>272.7134521456</v>
      </c>
      <c r="O6" s="361">
        <f>'ПАСПОРТ до 11'!S8</f>
        <v>110.8452413024</v>
      </c>
      <c r="P6" s="361">
        <f>'ПАСПОРТ до 11'!T8</f>
        <v>17.912109129599997</v>
      </c>
    </row>
    <row r="7" spans="1:16" ht="12.75">
      <c r="A7">
        <f>'ПАСПОРТ до 11'!D9</f>
        <v>2013</v>
      </c>
      <c r="B7" s="361">
        <f>'ПАСПОРТ до 11'!E9</f>
        <v>0</v>
      </c>
      <c r="C7" s="361">
        <f>'ПАСПОРТ до 11'!F9</f>
        <v>0</v>
      </c>
      <c r="D7" s="361">
        <f>'ПАСПОРТ до 11'!G9</f>
        <v>0</v>
      </c>
      <c r="E7" s="361">
        <f>'ПАСПОРТ до 11'!H9</f>
        <v>0</v>
      </c>
      <c r="F7" s="361">
        <f>'ПАСПОРТ до 11'!I9</f>
        <v>0</v>
      </c>
      <c r="G7" s="361">
        <f>'ПАСПОРТ до 11'!J9</f>
        <v>0</v>
      </c>
      <c r="H7" s="361">
        <f>'ПАСПОРТ до 11'!K9</f>
        <v>0</v>
      </c>
      <c r="I7" s="361">
        <f>'ПАСПОРТ до 11'!L9</f>
        <v>0</v>
      </c>
      <c r="J7" s="361">
        <f>'ПАСПОРТ до 11'!M9</f>
        <v>0</v>
      </c>
      <c r="K7" s="361">
        <f>'ПАСПОРТ до 11'!N9</f>
        <v>414.04999999999995</v>
      </c>
      <c r="L7" s="372">
        <f>'ПАСПОРТ до 11'!O9</f>
        <v>11</v>
      </c>
      <c r="M7" s="361">
        <f>'ПАСПОРТ до 11'!Q9</f>
        <v>423.03760825087994</v>
      </c>
      <c r="N7" s="361">
        <f>'ПАСПОРТ до 11'!R9</f>
        <v>304.10047620288</v>
      </c>
      <c r="O7" s="361">
        <f>'ПАСПОРТ до 11'!S9</f>
        <v>104.02508843359999</v>
      </c>
      <c r="P7" s="361">
        <f>'ПАСПОРТ до 11'!T9</f>
        <v>14.9120436144</v>
      </c>
    </row>
    <row r="8" spans="1:16" ht="12.75">
      <c r="A8">
        <f>'ПАСПОРТ до 11'!D10</f>
        <v>2014</v>
      </c>
      <c r="B8" s="361">
        <f>'ПАСПОРТ до 11'!E10</f>
        <v>0</v>
      </c>
      <c r="C8" s="361">
        <f>'ПАСПОРТ до 11'!F10</f>
        <v>0</v>
      </c>
      <c r="D8" s="361">
        <f>'ПАСПОРТ до 11'!G10</f>
        <v>0</v>
      </c>
      <c r="E8" s="361">
        <f>'ПАСПОРТ до 11'!H10</f>
        <v>0</v>
      </c>
      <c r="F8" s="361">
        <f>'ПАСПОРТ до 11'!I10</f>
        <v>0</v>
      </c>
      <c r="G8" s="361">
        <f>'ПАСПОРТ до 11'!J10</f>
        <v>0</v>
      </c>
      <c r="H8" s="361">
        <f>'ПАСПОРТ до 11'!K10</f>
        <v>0</v>
      </c>
      <c r="I8" s="361">
        <f>'ПАСПОРТ до 11'!L10</f>
        <v>0</v>
      </c>
      <c r="J8" s="361">
        <f>'ПАСПОРТ до 11'!M10</f>
        <v>0</v>
      </c>
      <c r="K8" s="361">
        <f>'ПАСПОРТ до 11'!N10</f>
        <v>414.54999999999995</v>
      </c>
      <c r="L8" s="372">
        <f>'ПАСПОРТ до 11'!O10</f>
        <v>1.2</v>
      </c>
      <c r="M8" s="361">
        <f>'ПАСПОРТ до 11'!Q10</f>
        <v>407.66499048</v>
      </c>
      <c r="N8" s="361">
        <f>'ПАСПОРТ до 11'!R10</f>
        <v>296.83819</v>
      </c>
      <c r="O8" s="361">
        <f>'ПАСПОРТ до 11'!S10</f>
        <v>98.374856336</v>
      </c>
      <c r="P8" s="361">
        <f>'ПАСПОРТ до 11'!T10</f>
        <v>12.451944144000002</v>
      </c>
    </row>
    <row r="9" spans="1:16" ht="12.75">
      <c r="A9" t="str">
        <f>'ПАСПОРТ до 11'!D11</f>
        <v>Итого</v>
      </c>
      <c r="B9" s="361">
        <f>'ПАСПОРТ до 11'!E11</f>
        <v>2349.8849999999998</v>
      </c>
      <c r="C9" s="361">
        <f>'ПАСПОРТ до 11'!F11</f>
        <v>229.5</v>
      </c>
      <c r="D9" s="361">
        <f>'ПАСПОРТ до 11'!G11</f>
        <v>38.985</v>
      </c>
      <c r="E9" s="365">
        <f>'ПАСПОРТ до 11'!H11</f>
        <v>10.1</v>
      </c>
      <c r="F9" s="361">
        <f>'ПАСПОРТ до 11'!I11</f>
        <v>1195.4999999999998</v>
      </c>
      <c r="G9" s="361">
        <f>'ПАСПОРТ до 11'!J11</f>
        <v>795.8</v>
      </c>
      <c r="H9" s="361">
        <f>'ПАСПОРТ до 11'!K11</f>
        <v>80</v>
      </c>
      <c r="I9" s="361">
        <f>'ПАСПОРТ до 11'!L11</f>
        <v>0</v>
      </c>
      <c r="J9" s="361">
        <f>'ПАСПОРТ до 11'!M11</f>
        <v>0</v>
      </c>
      <c r="K9" s="361">
        <f>'ПАСПОРТ до 11'!N11</f>
        <v>2049.4744249999994</v>
      </c>
      <c r="L9" s="372">
        <f>'ПАСПОРТ до 11'!O11</f>
        <v>1199.95</v>
      </c>
      <c r="M9" s="361">
        <f>'ПАСПОРТ до 11'!Q11</f>
        <v>1994.5356990894797</v>
      </c>
      <c r="N9" s="361">
        <f>'ПАСПОРТ до 11'!R11</f>
        <v>1385.5065776484798</v>
      </c>
      <c r="O9" s="361">
        <f>'ПАСПОРТ до 11'!S11</f>
        <v>528.0986610087</v>
      </c>
      <c r="P9" s="361">
        <f>'ПАСПОРТ до 11'!T11</f>
        <v>80.93046043230001</v>
      </c>
    </row>
    <row r="10" spans="2:16" ht="12.75">
      <c r="B10" s="361"/>
      <c r="C10" s="361"/>
      <c r="D10" s="361"/>
      <c r="E10" s="361"/>
      <c r="F10" s="361"/>
      <c r="G10" s="361"/>
      <c r="H10" s="361"/>
      <c r="I10" s="361"/>
      <c r="J10" s="361"/>
      <c r="K10" s="361"/>
      <c r="L10" s="372"/>
      <c r="M10" s="361"/>
      <c r="N10" s="361"/>
      <c r="O10" s="361"/>
      <c r="P10" s="361"/>
    </row>
    <row r="11" spans="1:16" s="363" customFormat="1" ht="12.75">
      <c r="A11" s="363" t="s">
        <v>133</v>
      </c>
      <c r="B11" s="364"/>
      <c r="C11" s="364"/>
      <c r="D11" s="364"/>
      <c r="E11" s="364"/>
      <c r="F11" s="364"/>
      <c r="G11" s="364"/>
      <c r="H11" s="364"/>
      <c r="I11" s="364"/>
      <c r="J11" s="364"/>
      <c r="K11" s="364"/>
      <c r="L11" s="373"/>
      <c r="M11" s="364"/>
      <c r="N11" s="364"/>
      <c r="O11" s="364"/>
      <c r="P11" s="364"/>
    </row>
    <row r="12" spans="1:16" ht="12.75">
      <c r="A12">
        <f>'ПАСПОРТ до 12'!D6</f>
        <v>2010</v>
      </c>
      <c r="B12" s="361">
        <f>'ПАСПОРТ до 12'!E6</f>
        <v>200.4</v>
      </c>
      <c r="C12" s="361">
        <f>'ПАСПОРТ до 12'!F6</f>
        <v>0</v>
      </c>
      <c r="D12" s="361">
        <f>'ПАСПОРТ до 12'!G6</f>
        <v>0.3</v>
      </c>
      <c r="E12" s="361">
        <f>'ПАСПОРТ до 12'!H6</f>
        <v>0</v>
      </c>
      <c r="F12" s="361">
        <f>'ПАСПОРТ до 12'!I6</f>
        <v>31</v>
      </c>
      <c r="G12" s="361">
        <f>'ПАСПОРТ до 12'!J6</f>
        <v>169.1</v>
      </c>
      <c r="H12" s="361">
        <f>'ПАСПОРТ до 12'!K6</f>
        <v>0</v>
      </c>
      <c r="I12" s="361">
        <f>'ПАСПОРТ до 12'!L6</f>
        <v>0</v>
      </c>
      <c r="J12" s="361">
        <f>'ПАСПОРТ до 12'!M6</f>
        <v>0</v>
      </c>
      <c r="K12" s="361">
        <f>'ПАСПОРТ до 12'!N6</f>
        <v>10</v>
      </c>
      <c r="L12" s="372">
        <f>'ПАСПОРТ до 12'!O6</f>
        <v>63</v>
      </c>
      <c r="M12" s="361">
        <f>'ПАСПОРТ до 12'!Q6</f>
        <v>13.552176799999998</v>
      </c>
      <c r="N12" s="361">
        <f>'ПАСПОРТ до 12'!R6</f>
        <v>8</v>
      </c>
      <c r="O12" s="361">
        <f>'ПАСПОРТ до 12'!S6</f>
        <v>3.24652376</v>
      </c>
      <c r="P12" s="361">
        <f>'ПАСПОРТ до 12'!T6</f>
        <v>2.3056530399999997</v>
      </c>
    </row>
    <row r="13" spans="1:16" ht="12.75">
      <c r="A13">
        <f>'ПАСПОРТ до 12'!D7</f>
        <v>2011</v>
      </c>
      <c r="B13" s="361">
        <f>'ПАСПОРТ до 12'!E7</f>
        <v>210.8</v>
      </c>
      <c r="C13" s="361">
        <f>'ПАСПОРТ до 12'!F7</f>
        <v>0</v>
      </c>
      <c r="D13" s="361">
        <f>'ПАСПОРТ до 12'!G7</f>
        <v>0.3</v>
      </c>
      <c r="E13" s="361">
        <f>'ПАСПОРТ до 12'!H7</f>
        <v>0.8</v>
      </c>
      <c r="F13" s="361">
        <f>'ПАСПОРТ до 12'!I7</f>
        <v>25.5</v>
      </c>
      <c r="G13" s="361">
        <f>'ПАСПОРТ до 12'!J7</f>
        <v>184.2</v>
      </c>
      <c r="H13" s="361">
        <f>'ПАСПОРТ до 12'!K7</f>
        <v>0</v>
      </c>
      <c r="I13" s="361">
        <f>'ПАСПОРТ до 12'!L7</f>
        <v>0</v>
      </c>
      <c r="J13" s="361">
        <f>'ПАСПОРТ до 12'!M7</f>
        <v>0</v>
      </c>
      <c r="K13" s="361">
        <f>'ПАСПОРТ до 12'!N7</f>
        <v>10</v>
      </c>
      <c r="L13" s="372">
        <f>'ПАСПОРТ до 12'!O7</f>
        <v>155</v>
      </c>
      <c r="M13" s="361">
        <f>'ПАСПОРТ до 12'!Q7</f>
        <v>15.137072599999998</v>
      </c>
      <c r="N13" s="361">
        <f>'ПАСПОРТ до 12'!R7</f>
        <v>8.072</v>
      </c>
      <c r="O13" s="361">
        <f>'ПАСПОРТ до 12'!S7</f>
        <v>4.30555082</v>
      </c>
      <c r="P13" s="361">
        <f>'ПАСПОРТ до 12'!T7</f>
        <v>2.75952178</v>
      </c>
    </row>
    <row r="14" spans="1:16" ht="12.75">
      <c r="A14">
        <f>'ПАСПОРТ до 12'!D8</f>
        <v>2012</v>
      </c>
      <c r="B14" s="361">
        <f>'ПАСПОРТ до 12'!E8</f>
        <v>77.50000000000001</v>
      </c>
      <c r="C14" s="361">
        <f>'ПАСПОРТ до 12'!F8</f>
        <v>0</v>
      </c>
      <c r="D14" s="361">
        <f>'ПАСПОРТ до 12'!G8</f>
        <v>0.3</v>
      </c>
      <c r="E14" s="361">
        <f>'ПАСПОРТ до 12'!H8</f>
        <v>1.7</v>
      </c>
      <c r="F14" s="361">
        <f>'ПАСПОРТ до 12'!I8</f>
        <v>25.3</v>
      </c>
      <c r="G14" s="361">
        <f>'ПАСПОРТ до 12'!J8</f>
        <v>50.2</v>
      </c>
      <c r="H14" s="361">
        <f>'ПАСПОРТ до 12'!K8</f>
        <v>0</v>
      </c>
      <c r="I14" s="361">
        <f>'ПАСПОРТ до 12'!L8</f>
        <v>0</v>
      </c>
      <c r="J14" s="361">
        <f>'ПАСПОРТ до 12'!M8</f>
        <v>0</v>
      </c>
      <c r="K14" s="361">
        <f>'ПАСПОРТ до 12'!N8</f>
        <v>182.9</v>
      </c>
      <c r="L14" s="372">
        <f>'ПАСПОРТ до 12'!O8</f>
        <v>107</v>
      </c>
      <c r="M14" s="361">
        <f>'ПАСПОРТ до 12'!Q8</f>
        <v>50.39867259999999</v>
      </c>
      <c r="N14" s="361">
        <f>'ПАСПОРТ до 12'!R8</f>
        <v>11.611</v>
      </c>
      <c r="O14" s="361">
        <f>'ПАСПОРТ до 12'!S8</f>
        <v>35.84797082</v>
      </c>
      <c r="P14" s="361">
        <f>'ПАСПОРТ до 12'!T8</f>
        <v>2.93970178</v>
      </c>
    </row>
    <row r="15" spans="1:16" ht="12.75">
      <c r="A15">
        <f>'ПАСПОРТ до 12'!D9</f>
        <v>2013</v>
      </c>
      <c r="B15" s="361">
        <f>'ПАСПОРТ до 12'!E9</f>
        <v>0</v>
      </c>
      <c r="C15" s="361">
        <f>'ПАСПОРТ до 12'!F9</f>
        <v>0</v>
      </c>
      <c r="D15" s="361">
        <f>'ПАСПОРТ до 12'!G9</f>
        <v>0</v>
      </c>
      <c r="E15" s="361">
        <f>'ПАСПОРТ до 12'!H9</f>
        <v>0</v>
      </c>
      <c r="F15" s="361">
        <f>'ПАСПОРТ до 12'!I9</f>
        <v>0</v>
      </c>
      <c r="G15" s="361">
        <f>'ПАСПОРТ до 12'!J9</f>
        <v>0</v>
      </c>
      <c r="H15" s="361">
        <f>'ПАСПОРТ до 12'!K9</f>
        <v>0</v>
      </c>
      <c r="I15" s="361">
        <f>'ПАСПОРТ до 12'!L9</f>
        <v>0</v>
      </c>
      <c r="J15" s="361">
        <f>'ПАСПОРТ до 12'!M9</f>
        <v>0</v>
      </c>
      <c r="K15" s="361">
        <f>'ПАСПОРТ до 12'!N9</f>
        <v>316.2</v>
      </c>
      <c r="L15" s="372">
        <f>'ПАСПОРТ до 12'!O9</f>
        <v>0</v>
      </c>
      <c r="M15" s="361">
        <f>'ПАСПОРТ до 12'!Q9</f>
        <v>76.4976</v>
      </c>
      <c r="N15" s="361">
        <f>'ПАСПОРТ до 12'!R9</f>
        <v>14.123999999999999</v>
      </c>
      <c r="O15" s="361">
        <f>'ПАСПОРТ до 12'!S9</f>
        <v>59.55631999999999</v>
      </c>
      <c r="P15" s="361">
        <f>'ПАСПОРТ до 12'!T9</f>
        <v>2.81728</v>
      </c>
    </row>
    <row r="16" spans="1:16" ht="12.75">
      <c r="A16">
        <f>'ПАСПОРТ до 12'!D10</f>
        <v>2014</v>
      </c>
      <c r="B16" s="361">
        <f>'ПАСПОРТ до 12'!E10</f>
        <v>0</v>
      </c>
      <c r="C16" s="361">
        <f>'ПАСПОРТ до 12'!F10</f>
        <v>0</v>
      </c>
      <c r="D16" s="361">
        <f>'ПАСПОРТ до 12'!G10</f>
        <v>0</v>
      </c>
      <c r="E16" s="361">
        <f>'ПАСПОРТ до 12'!H10</f>
        <v>0</v>
      </c>
      <c r="F16" s="361">
        <f>'ПАСПОРТ до 12'!I10</f>
        <v>0</v>
      </c>
      <c r="G16" s="361">
        <f>'ПАСПОРТ до 12'!J10</f>
        <v>0</v>
      </c>
      <c r="H16" s="361">
        <f>'ПАСПОРТ до 12'!K10</f>
        <v>0</v>
      </c>
      <c r="I16" s="361">
        <f>'ПАСПОРТ до 12'!L10</f>
        <v>0</v>
      </c>
      <c r="J16" s="361">
        <f>'ПАСПОРТ до 12'!M10</f>
        <v>0</v>
      </c>
      <c r="K16" s="361">
        <f>'ПАСПОРТ до 12'!N10</f>
        <v>316.2</v>
      </c>
      <c r="L16" s="372">
        <f>'ПАСПОРТ до 12'!O10</f>
        <v>1</v>
      </c>
      <c r="M16" s="361">
        <f>'ПАСПОРТ до 12'!Q10</f>
        <v>79.4976</v>
      </c>
      <c r="N16" s="361">
        <f>'ПАСПОРТ до 12'!R10</f>
        <v>18.124</v>
      </c>
      <c r="O16" s="361">
        <f>'ПАСПОРТ до 12'!S10</f>
        <v>64.55632</v>
      </c>
      <c r="P16" s="361">
        <f>'ПАСПОРТ до 12'!T10</f>
        <v>8.81728</v>
      </c>
    </row>
    <row r="17" spans="1:16" ht="12.75">
      <c r="A17" t="str">
        <f>'ПАСПОРТ до 12'!D11</f>
        <v>Итого</v>
      </c>
      <c r="B17" s="361">
        <f>'ПАСПОРТ до 12'!E11</f>
        <v>488.70000000000005</v>
      </c>
      <c r="C17" s="361">
        <f>'ПАСПОРТ до 12'!F11</f>
        <v>0</v>
      </c>
      <c r="D17" s="361">
        <f>'ПАСПОРТ до 12'!G11</f>
        <v>0.8999999999999999</v>
      </c>
      <c r="E17" s="361">
        <f>'ПАСПОРТ до 12'!H11</f>
        <v>2.5</v>
      </c>
      <c r="F17" s="361">
        <f>'ПАСПОРТ до 12'!I11</f>
        <v>81.8</v>
      </c>
      <c r="G17" s="361">
        <f>'ПАСПОРТ до 12'!J11</f>
        <v>403.49999999999994</v>
      </c>
      <c r="H17" s="361">
        <f>'ПАСПОРТ до 12'!K11</f>
        <v>0</v>
      </c>
      <c r="I17" s="361">
        <f>'ПАСПОРТ до 12'!L11</f>
        <v>0</v>
      </c>
      <c r="J17" s="361">
        <f>'ПАСПОРТ до 12'!M11</f>
        <v>0</v>
      </c>
      <c r="K17" s="361">
        <f>'ПАСПОРТ до 12'!N11</f>
        <v>835.3</v>
      </c>
      <c r="L17" s="372">
        <f>'ПАСПОРТ до 12'!O11</f>
        <v>326</v>
      </c>
      <c r="M17" s="361">
        <f>'ПАСПОРТ до 12'!Q11</f>
        <v>235.083122</v>
      </c>
      <c r="N17" s="361">
        <f>'ПАСПОРТ до 12'!R11</f>
        <v>59.931</v>
      </c>
      <c r="O17" s="361">
        <f>'ПАСПОРТ до 12'!S11</f>
        <v>167.51268539999998</v>
      </c>
      <c r="P17" s="361">
        <f>'ПАСПОРТ до 12'!T11</f>
        <v>19.6394366</v>
      </c>
    </row>
    <row r="19" spans="1:12" s="363" customFormat="1" ht="12.75">
      <c r="A19" s="363" t="s">
        <v>134</v>
      </c>
      <c r="L19" s="371"/>
    </row>
    <row r="20" spans="1:16" ht="12.75">
      <c r="A20" s="360">
        <f>'ПАСПОРТ до 14'!D6</f>
        <v>2010</v>
      </c>
      <c r="B20" s="360">
        <f>'ПАСПОРТ до 14'!E6</f>
        <v>830.3100000000001</v>
      </c>
      <c r="C20" s="360">
        <f>'ПАСПОРТ до 14'!F6</f>
        <v>222.70000000000002</v>
      </c>
      <c r="D20" s="360">
        <f>'ПАСПОРТ до 14'!G6</f>
        <v>15.2</v>
      </c>
      <c r="E20" s="360">
        <f>'ПАСПОРТ до 14'!H6</f>
        <v>5.800000000000001</v>
      </c>
      <c r="F20" s="360">
        <f>'ПАСПОРТ до 14'!I6</f>
        <v>548.61</v>
      </c>
      <c r="G20" s="360">
        <f>'ПАСПОРТ до 14'!J6</f>
        <v>38</v>
      </c>
      <c r="H20" s="360">
        <f>'ПАСПОРТ до 14'!K6</f>
        <v>0</v>
      </c>
      <c r="I20" s="360">
        <f>'ПАСПОРТ до 14'!L6</f>
        <v>0</v>
      </c>
      <c r="J20" s="360">
        <f>'ПАСПОРТ до 14'!M6</f>
        <v>0</v>
      </c>
      <c r="K20" s="360">
        <f>'ПАСПОРТ до 14'!N6</f>
        <v>976.1688000000001</v>
      </c>
      <c r="L20" s="374">
        <f>'ПАСПОРТ до 14'!O6</f>
        <v>934.5299999999999</v>
      </c>
      <c r="M20" s="360">
        <f>'ПАСПОРТ до 14'!Q6</f>
        <v>730.250419912</v>
      </c>
      <c r="N20" s="360">
        <f>'ПАСПОРТ до 14'!R6</f>
        <v>467.38427600000006</v>
      </c>
      <c r="O20" s="360">
        <f>'ПАСПОРТ до 14'!S6</f>
        <v>223.8371007384</v>
      </c>
      <c r="P20" s="360">
        <f>'ПАСПОРТ до 14'!T6</f>
        <v>39.029043173599995</v>
      </c>
    </row>
    <row r="21" spans="1:16" ht="12.75">
      <c r="A21" s="360">
        <f>'ПАСПОРТ до 14'!D7</f>
        <v>2011</v>
      </c>
      <c r="B21" s="360">
        <f>'ПАСПОРТ до 14'!E7</f>
        <v>2593.2544444444443</v>
      </c>
      <c r="C21" s="360">
        <f>'ПАСПОРТ до 14'!F7</f>
        <v>885.0483333333333</v>
      </c>
      <c r="D21" s="360">
        <f>'ПАСПОРТ до 14'!G7</f>
        <v>11.811111111111112</v>
      </c>
      <c r="E21" s="360">
        <f>'ПАСПОРТ до 14'!H7</f>
        <v>21.61</v>
      </c>
      <c r="F21" s="360">
        <f>'ПАСПОРТ до 14'!I7</f>
        <v>1398.9850000000001</v>
      </c>
      <c r="G21" s="360">
        <f>'ПАСПОРТ до 14'!J7</f>
        <v>275.8</v>
      </c>
      <c r="H21" s="360">
        <f>'ПАСПОРТ до 14'!K7</f>
        <v>0</v>
      </c>
      <c r="I21" s="360">
        <f>'ПАСПОРТ до 14'!L7</f>
        <v>0</v>
      </c>
      <c r="J21" s="360">
        <f>'ПАСПОРТ до 14'!M7</f>
        <v>0</v>
      </c>
      <c r="K21" s="360">
        <f>'ПАСПОРТ до 14'!N7</f>
        <v>1106.76255</v>
      </c>
      <c r="L21" s="374">
        <f>'ПАСПОРТ до 14'!O7</f>
        <v>863.2550000000001</v>
      </c>
      <c r="M21" s="360">
        <f>'ПАСПОРТ до 14'!Q7</f>
        <v>856.4161096619999</v>
      </c>
      <c r="N21" s="360">
        <f>'ПАСПОРТ до 14'!R7</f>
        <v>579.2336510000001</v>
      </c>
      <c r="O21" s="360">
        <f>'ПАСПОРТ до 14'!S7</f>
        <v>233.91672106340002</v>
      </c>
      <c r="P21" s="360">
        <f>'ПАСПОРТ до 14'!T7</f>
        <v>43.2657375986</v>
      </c>
    </row>
    <row r="22" spans="1:16" ht="12.75">
      <c r="A22" s="360">
        <f>'ПАСПОРТ до 14'!D8</f>
        <v>2012</v>
      </c>
      <c r="B22" s="360">
        <f>'ПАСПОРТ до 14'!E8</f>
        <v>2835.9744444444445</v>
      </c>
      <c r="C22" s="360">
        <f>'ПАСПОРТ до 14'!F8</f>
        <v>888.0649999999999</v>
      </c>
      <c r="D22" s="360">
        <f>'ПАСПОРТ до 14'!G8</f>
        <v>11.811111111111112</v>
      </c>
      <c r="E22" s="360">
        <f>'ПАСПОРТ до 14'!H8</f>
        <v>27.11</v>
      </c>
      <c r="F22" s="360">
        <f>'ПАСПОРТ до 14'!I8</f>
        <v>1494.555</v>
      </c>
      <c r="G22" s="360">
        <f>'ПАСПОРТ до 14'!J8</f>
        <v>414.4</v>
      </c>
      <c r="H22" s="360">
        <f>'ПАСПОРТ до 14'!K8</f>
        <v>0</v>
      </c>
      <c r="I22" s="360">
        <f>'ПАСПОРТ до 14'!L8</f>
        <v>0</v>
      </c>
      <c r="J22" s="360">
        <f>'ПАСПОРТ до 14'!M8</f>
        <v>0</v>
      </c>
      <c r="K22" s="360">
        <f>'ПАСПОРТ до 14'!N8</f>
        <v>1109.8629</v>
      </c>
      <c r="L22" s="374">
        <f>'ПАСПОРТ до 14'!O8</f>
        <v>642.0575</v>
      </c>
      <c r="M22" s="360">
        <f>'ПАСПОРТ до 14'!Q8</f>
        <v>857.451914752</v>
      </c>
      <c r="N22" s="360">
        <f>'ПАСПОРТ до 14'!R8</f>
        <v>580.795958</v>
      </c>
      <c r="O22" s="360">
        <f>'ПАСПОРТ до 14'!S8</f>
        <v>233.7111697264</v>
      </c>
      <c r="P22" s="360">
        <f>'ПАСПОРТ до 14'!T8</f>
        <v>42.94478702559999</v>
      </c>
    </row>
    <row r="23" spans="1:16" ht="12.75">
      <c r="A23" s="360">
        <f>'ПАСПОРТ до 14'!D9</f>
        <v>2013</v>
      </c>
      <c r="B23" s="360">
        <f>'ПАСПОРТ до 14'!E9</f>
        <v>3884.22</v>
      </c>
      <c r="C23" s="360">
        <f>'ПАСПОРТ до 14'!F9</f>
        <v>1388.7649999999999</v>
      </c>
      <c r="D23" s="360">
        <f>'ПАСПОРТ до 14'!G9</f>
        <v>550.65</v>
      </c>
      <c r="E23" s="360">
        <f>'ПАСПОРТ до 14'!H9</f>
        <v>36.37</v>
      </c>
      <c r="F23" s="360">
        <f>'ПАСПОРТ до 14'!I9</f>
        <v>1504.035</v>
      </c>
      <c r="G23" s="360">
        <f>'ПАСПОРТ до 14'!J9</f>
        <v>404.4</v>
      </c>
      <c r="H23" s="360">
        <f>'ПАСПОРТ до 14'!K9</f>
        <v>0</v>
      </c>
      <c r="I23" s="360">
        <f>'ПАСПОРТ до 14'!L9</f>
        <v>0</v>
      </c>
      <c r="J23" s="360">
        <f>'ПАСПОРТ до 14'!M9</f>
        <v>0</v>
      </c>
      <c r="K23" s="360">
        <f>'ПАСПОРТ до 14'!N9</f>
        <v>1116.29385</v>
      </c>
      <c r="L23" s="374">
        <f>'ПАСПОРТ до 14'!O9</f>
        <v>664.7525</v>
      </c>
      <c r="M23" s="360">
        <f>'ПАСПОРТ до 14'!Q9</f>
        <v>877.5101061819998</v>
      </c>
      <c r="N23" s="360">
        <f>'ПАСПОРТ до 14'!R9</f>
        <v>591.509677</v>
      </c>
      <c r="O23" s="360">
        <f>'ПАСПОРТ до 14'!S9</f>
        <v>241.2673004274</v>
      </c>
      <c r="P23" s="360">
        <f>'ПАСПОРТ до 14'!T9</f>
        <v>44.733128754599996</v>
      </c>
    </row>
    <row r="24" spans="1:16" ht="12.75">
      <c r="A24" s="360">
        <f>'ПАСПОРТ до 14'!D10</f>
        <v>2014</v>
      </c>
      <c r="B24" s="360">
        <f>'ПАСПОРТ до 14'!E10</f>
        <v>3853.6616666666664</v>
      </c>
      <c r="C24" s="360">
        <f>'ПАСПОРТ до 14'!F10</f>
        <v>1543.2316666666666</v>
      </c>
      <c r="D24" s="360">
        <f>'ПАСПОРТ до 14'!G10</f>
        <v>564.8</v>
      </c>
      <c r="E24" s="360">
        <f>'ПАСПОРТ до 14'!H10</f>
        <v>34.445</v>
      </c>
      <c r="F24" s="360">
        <f>'ПАСПОРТ до 14'!I10</f>
        <v>1306.785</v>
      </c>
      <c r="G24" s="360">
        <f>'ПАСПОРТ до 14'!J10</f>
        <v>404.4</v>
      </c>
      <c r="H24" s="360">
        <f>'ПАСПОРТ до 14'!K10</f>
        <v>0</v>
      </c>
      <c r="I24" s="360">
        <f>'ПАСПОРТ до 14'!L10</f>
        <v>0</v>
      </c>
      <c r="J24" s="360">
        <f>'ПАСПОРТ до 14'!M10</f>
        <v>0</v>
      </c>
      <c r="K24" s="360">
        <f>'ПАСПОРТ до 14'!N10</f>
        <v>1133.3282249999997</v>
      </c>
      <c r="L24" s="374">
        <f>'ПАСПОРТ до 14'!O10</f>
        <v>697.6775</v>
      </c>
      <c r="M24" s="360">
        <f>'ПАСПОРТ до 14'!Q10</f>
        <v>881.2294869386</v>
      </c>
      <c r="N24" s="360">
        <f>'ПАСПОРТ до 14'!R10</f>
        <v>595.1541145</v>
      </c>
      <c r="O24" s="360">
        <f>'ПАСПОРТ до 14'!S10</f>
        <v>241.08846070702003</v>
      </c>
      <c r="P24" s="360">
        <f>'ПАСПОРТ до 14'!T10</f>
        <v>44.98691173158</v>
      </c>
    </row>
    <row r="25" spans="1:16" ht="12.75">
      <c r="A25" s="360" t="str">
        <f>'ПАСПОРТ до 14'!D11</f>
        <v>Итого</v>
      </c>
      <c r="B25" s="360">
        <f>'ПАСПОРТ до 14'!E11</f>
        <v>13997.420555555555</v>
      </c>
      <c r="C25" s="360">
        <f>'ПАСПОРТ до 14'!F11</f>
        <v>4927.8099999999995</v>
      </c>
      <c r="D25" s="360">
        <f>'ПАСПОРТ до 14'!G11</f>
        <v>1154.2722222222221</v>
      </c>
      <c r="E25" s="360">
        <f>'ПАСПОРТ до 14'!H11</f>
        <v>125.33499999999998</v>
      </c>
      <c r="F25" s="360">
        <f>'ПАСПОРТ до 14'!I11</f>
        <v>6252.97</v>
      </c>
      <c r="G25" s="360">
        <f>'ПАСПОРТ до 14'!J11</f>
        <v>1537</v>
      </c>
      <c r="H25" s="360">
        <f>'ПАСПОРТ до 14'!K11</f>
        <v>0</v>
      </c>
      <c r="I25" s="360">
        <f>'ПАСПОРТ до 14'!L11</f>
        <v>0</v>
      </c>
      <c r="J25" s="360">
        <f>'ПАСПОРТ до 14'!M11</f>
        <v>0</v>
      </c>
      <c r="K25" s="360">
        <f>'ПАСПОРТ до 14'!N11</f>
        <v>5442.416325</v>
      </c>
      <c r="L25" s="374">
        <f>'ПАСПОРТ до 14'!O11</f>
        <v>3801.4725</v>
      </c>
      <c r="M25" s="360">
        <f>'ПАСПОРТ до 14'!Q11</f>
        <v>4202.858037446599</v>
      </c>
      <c r="N25" s="360">
        <f>'ПАСПОРТ до 14'!R11</f>
        <v>2814.0776765000005</v>
      </c>
      <c r="O25" s="360">
        <f>'ПАСПОРТ до 14'!S11</f>
        <v>1173.82075266262</v>
      </c>
      <c r="P25" s="360">
        <f>'ПАСПОРТ до 14'!T11</f>
        <v>214.95960828397997</v>
      </c>
    </row>
    <row r="27" ht="12.75">
      <c r="A27" s="370" t="s">
        <v>135</v>
      </c>
    </row>
    <row r="28" spans="1:16" ht="12.75">
      <c r="A28" s="267">
        <v>2010</v>
      </c>
      <c r="B28" s="360">
        <f>B20+B12+B4</f>
        <v>2729.6949999999997</v>
      </c>
      <c r="C28" s="360">
        <f aca="true" t="shared" si="0" ref="C28:P28">C20+C12+C4</f>
        <v>452.20000000000005</v>
      </c>
      <c r="D28" s="360">
        <f t="shared" si="0"/>
        <v>47.985</v>
      </c>
      <c r="E28" s="360">
        <f t="shared" si="0"/>
        <v>11.600000000000001</v>
      </c>
      <c r="F28" s="360">
        <f t="shared" si="0"/>
        <v>1702.31</v>
      </c>
      <c r="G28" s="360">
        <f t="shared" si="0"/>
        <v>465.6</v>
      </c>
      <c r="H28" s="360">
        <f t="shared" si="0"/>
        <v>50</v>
      </c>
      <c r="I28" s="360">
        <f t="shared" si="0"/>
        <v>0</v>
      </c>
      <c r="J28" s="360">
        <f t="shared" si="0"/>
        <v>0</v>
      </c>
      <c r="K28" s="360">
        <f t="shared" si="0"/>
        <v>1386.301725</v>
      </c>
      <c r="L28" s="374">
        <f t="shared" si="0"/>
        <v>2045.83</v>
      </c>
      <c r="M28" s="360">
        <f t="shared" si="0"/>
        <v>1120.742339917</v>
      </c>
      <c r="N28" s="360">
        <f t="shared" si="0"/>
        <v>727.3531795000001</v>
      </c>
      <c r="O28" s="360">
        <f t="shared" si="0"/>
        <v>333.8565122919</v>
      </c>
      <c r="P28" s="360">
        <f t="shared" si="0"/>
        <v>59.532648125099996</v>
      </c>
    </row>
    <row r="29" spans="1:16" ht="12.75">
      <c r="A29" s="267">
        <v>2011</v>
      </c>
      <c r="B29" s="360">
        <f aca="true" t="shared" si="1" ref="B29:P33">B21+B13+B5</f>
        <v>3454.9544444444446</v>
      </c>
      <c r="C29" s="360">
        <f t="shared" si="1"/>
        <v>885.0483333333333</v>
      </c>
      <c r="D29" s="360">
        <f t="shared" si="1"/>
        <v>18.611111111111114</v>
      </c>
      <c r="E29" s="360">
        <f t="shared" si="1"/>
        <v>26.71</v>
      </c>
      <c r="F29" s="360">
        <f t="shared" si="1"/>
        <v>1497.285</v>
      </c>
      <c r="G29" s="360">
        <f t="shared" si="1"/>
        <v>997.3</v>
      </c>
      <c r="H29" s="360">
        <f t="shared" si="1"/>
        <v>30</v>
      </c>
      <c r="I29" s="360">
        <f t="shared" si="1"/>
        <v>0</v>
      </c>
      <c r="J29" s="360">
        <f t="shared" si="1"/>
        <v>0</v>
      </c>
      <c r="K29" s="360">
        <f t="shared" si="1"/>
        <v>1524.4540499999998</v>
      </c>
      <c r="L29" s="374">
        <f t="shared" si="1"/>
        <v>1136.9050000000002</v>
      </c>
      <c r="M29" s="360">
        <f t="shared" si="1"/>
        <v>1256.9757368379999</v>
      </c>
      <c r="N29" s="360">
        <f t="shared" si="1"/>
        <v>847.1912068</v>
      </c>
      <c r="O29" s="360">
        <f t="shared" si="1"/>
        <v>346.3028590266</v>
      </c>
      <c r="P29" s="360">
        <f t="shared" si="1"/>
        <v>63.481671011399996</v>
      </c>
    </row>
    <row r="30" spans="1:16" ht="12.75">
      <c r="A30" s="267">
        <v>2012</v>
      </c>
      <c r="B30" s="360">
        <f t="shared" si="1"/>
        <v>2913.4744444444445</v>
      </c>
      <c r="C30" s="360">
        <f t="shared" si="1"/>
        <v>888.0649999999999</v>
      </c>
      <c r="D30" s="360">
        <f t="shared" si="1"/>
        <v>12.111111111111112</v>
      </c>
      <c r="E30" s="360">
        <f t="shared" si="1"/>
        <v>28.81</v>
      </c>
      <c r="F30" s="360">
        <f t="shared" si="1"/>
        <v>1519.855</v>
      </c>
      <c r="G30" s="360">
        <f t="shared" si="1"/>
        <v>464.59999999999997</v>
      </c>
      <c r="H30" s="360">
        <f t="shared" si="1"/>
        <v>0</v>
      </c>
      <c r="I30" s="360">
        <f t="shared" si="1"/>
        <v>0</v>
      </c>
      <c r="J30" s="360">
        <f t="shared" si="1"/>
        <v>0</v>
      </c>
      <c r="K30" s="360">
        <f t="shared" si="1"/>
        <v>1705.8129000000001</v>
      </c>
      <c r="L30" s="374">
        <f t="shared" si="1"/>
        <v>770.0575</v>
      </c>
      <c r="M30" s="360">
        <f t="shared" si="1"/>
        <v>1309.3213899296</v>
      </c>
      <c r="N30" s="360">
        <f t="shared" si="1"/>
        <v>865.1204101456001</v>
      </c>
      <c r="O30" s="360">
        <f t="shared" si="1"/>
        <v>380.40438184879997</v>
      </c>
      <c r="P30" s="360">
        <f t="shared" si="1"/>
        <v>63.79659793519999</v>
      </c>
    </row>
    <row r="31" spans="1:16" ht="12.75">
      <c r="A31" s="267">
        <v>2013</v>
      </c>
      <c r="B31" s="360">
        <f t="shared" si="1"/>
        <v>3884.22</v>
      </c>
      <c r="C31" s="360">
        <f t="shared" si="1"/>
        <v>1388.7649999999999</v>
      </c>
      <c r="D31" s="360">
        <f t="shared" si="1"/>
        <v>550.65</v>
      </c>
      <c r="E31" s="360">
        <f t="shared" si="1"/>
        <v>36.37</v>
      </c>
      <c r="F31" s="360">
        <f t="shared" si="1"/>
        <v>1504.035</v>
      </c>
      <c r="G31" s="360">
        <f t="shared" si="1"/>
        <v>404.4</v>
      </c>
      <c r="H31" s="360">
        <f t="shared" si="1"/>
        <v>0</v>
      </c>
      <c r="I31" s="360">
        <f t="shared" si="1"/>
        <v>0</v>
      </c>
      <c r="J31" s="360">
        <f t="shared" si="1"/>
        <v>0</v>
      </c>
      <c r="K31" s="360">
        <f t="shared" si="1"/>
        <v>1846.54385</v>
      </c>
      <c r="L31" s="374">
        <f t="shared" si="1"/>
        <v>675.7525</v>
      </c>
      <c r="M31" s="360">
        <f t="shared" si="1"/>
        <v>1377.0453144328799</v>
      </c>
      <c r="N31" s="360">
        <f t="shared" si="1"/>
        <v>909.73415320288</v>
      </c>
      <c r="O31" s="360">
        <f t="shared" si="1"/>
        <v>404.848708861</v>
      </c>
      <c r="P31" s="360">
        <f t="shared" si="1"/>
        <v>62.46245236899999</v>
      </c>
    </row>
    <row r="32" spans="1:16" ht="12.75">
      <c r="A32" s="267">
        <v>2014</v>
      </c>
      <c r="B32" s="360">
        <f t="shared" si="1"/>
        <v>3853.6616666666664</v>
      </c>
      <c r="C32" s="360">
        <f t="shared" si="1"/>
        <v>1543.2316666666666</v>
      </c>
      <c r="D32" s="360">
        <f t="shared" si="1"/>
        <v>564.8</v>
      </c>
      <c r="E32" s="360">
        <f t="shared" si="1"/>
        <v>34.445</v>
      </c>
      <c r="F32" s="360">
        <f t="shared" si="1"/>
        <v>1306.785</v>
      </c>
      <c r="G32" s="360">
        <f t="shared" si="1"/>
        <v>404.4</v>
      </c>
      <c r="H32" s="360">
        <f t="shared" si="1"/>
        <v>0</v>
      </c>
      <c r="I32" s="360">
        <f t="shared" si="1"/>
        <v>0</v>
      </c>
      <c r="J32" s="360">
        <f t="shared" si="1"/>
        <v>0</v>
      </c>
      <c r="K32" s="360">
        <f t="shared" si="1"/>
        <v>1864.0782249999997</v>
      </c>
      <c r="L32" s="374">
        <f t="shared" si="1"/>
        <v>699.8775</v>
      </c>
      <c r="M32" s="360">
        <f t="shared" si="1"/>
        <v>1368.3920774186</v>
      </c>
      <c r="N32" s="360">
        <f t="shared" si="1"/>
        <v>910.1163045000001</v>
      </c>
      <c r="O32" s="360">
        <f t="shared" si="1"/>
        <v>404.01963704302</v>
      </c>
      <c r="P32" s="360">
        <f t="shared" si="1"/>
        <v>66.25613587558001</v>
      </c>
    </row>
    <row r="33" spans="1:16" ht="12.75">
      <c r="A33" s="267" t="s">
        <v>378</v>
      </c>
      <c r="B33" s="360">
        <f t="shared" si="1"/>
        <v>16836.005555555555</v>
      </c>
      <c r="C33" s="360">
        <f t="shared" si="1"/>
        <v>5157.3099999999995</v>
      </c>
      <c r="D33" s="360">
        <f t="shared" si="1"/>
        <v>1194.1572222222221</v>
      </c>
      <c r="E33" s="360">
        <f>E25+E17+E9</f>
        <v>137.93499999999997</v>
      </c>
      <c r="F33" s="360">
        <f t="shared" si="1"/>
        <v>7530.27</v>
      </c>
      <c r="G33" s="360">
        <f t="shared" si="1"/>
        <v>2736.3</v>
      </c>
      <c r="H33" s="360">
        <f t="shared" si="1"/>
        <v>80</v>
      </c>
      <c r="I33" s="360">
        <f t="shared" si="1"/>
        <v>0</v>
      </c>
      <c r="J33" s="360">
        <f t="shared" si="1"/>
        <v>0</v>
      </c>
      <c r="K33" s="360">
        <f t="shared" si="1"/>
        <v>8327.19075</v>
      </c>
      <c r="L33" s="374">
        <f>L25+L17+L9</f>
        <v>5327.4225</v>
      </c>
      <c r="M33" s="360">
        <f t="shared" si="1"/>
        <v>6432.476858536079</v>
      </c>
      <c r="N33" s="360">
        <f t="shared" si="1"/>
        <v>4259.51525414848</v>
      </c>
      <c r="O33" s="360">
        <f t="shared" si="1"/>
        <v>1869.43209907132</v>
      </c>
      <c r="P33" s="360">
        <f t="shared" si="1"/>
        <v>315.52950531628</v>
      </c>
    </row>
    <row r="35" spans="1:12" s="363" customFormat="1" ht="12.75">
      <c r="A35" s="368" t="s">
        <v>136</v>
      </c>
      <c r="L35" s="371"/>
    </row>
    <row r="36" spans="1:16" ht="12.75">
      <c r="A36" s="369" t="e">
        <f>#REF!</f>
        <v>#REF!</v>
      </c>
      <c r="B36" s="360" t="e">
        <f>#REF!</f>
        <v>#REF!</v>
      </c>
      <c r="C36" s="360" t="e">
        <f>#REF!</f>
        <v>#REF!</v>
      </c>
      <c r="D36" s="360" t="e">
        <f>#REF!</f>
        <v>#REF!</v>
      </c>
      <c r="E36" s="360" t="e">
        <f>#REF!</f>
        <v>#REF!</v>
      </c>
      <c r="F36" s="360" t="e">
        <f>#REF!</f>
        <v>#REF!</v>
      </c>
      <c r="G36" s="360" t="e">
        <f>#REF!</f>
        <v>#REF!</v>
      </c>
      <c r="H36" s="360" t="e">
        <f>#REF!</f>
        <v>#REF!</v>
      </c>
      <c r="I36" s="360" t="e">
        <f>#REF!</f>
        <v>#REF!</v>
      </c>
      <c r="J36" s="360" t="e">
        <f>#REF!</f>
        <v>#REF!</v>
      </c>
      <c r="K36" s="360" t="e">
        <f>#REF!</f>
        <v>#REF!</v>
      </c>
      <c r="L36" s="374" t="e">
        <f>#REF!</f>
        <v>#REF!</v>
      </c>
      <c r="M36" s="360" t="e">
        <f>#REF!</f>
        <v>#REF!</v>
      </c>
      <c r="N36" s="360" t="e">
        <f>#REF!</f>
        <v>#REF!</v>
      </c>
      <c r="O36" s="360" t="e">
        <f>#REF!</f>
        <v>#REF!</v>
      </c>
      <c r="P36" s="360" t="e">
        <f>#REF!</f>
        <v>#REF!</v>
      </c>
    </row>
    <row r="37" spans="1:16" ht="12.75">
      <c r="A37" s="369" t="e">
        <f>#REF!</f>
        <v>#REF!</v>
      </c>
      <c r="B37" s="360" t="e">
        <f>#REF!</f>
        <v>#REF!</v>
      </c>
      <c r="C37" s="360" t="e">
        <f>#REF!</f>
        <v>#REF!</v>
      </c>
      <c r="D37" s="360" t="e">
        <f>#REF!</f>
        <v>#REF!</v>
      </c>
      <c r="E37" s="360" t="e">
        <f>#REF!</f>
        <v>#REF!</v>
      </c>
      <c r="F37" s="360" t="e">
        <f>#REF!</f>
        <v>#REF!</v>
      </c>
      <c r="G37" s="360" t="e">
        <f>#REF!</f>
        <v>#REF!</v>
      </c>
      <c r="H37" s="360" t="e">
        <f>#REF!</f>
        <v>#REF!</v>
      </c>
      <c r="I37" s="360" t="e">
        <f>#REF!</f>
        <v>#REF!</v>
      </c>
      <c r="J37" s="360" t="e">
        <f>#REF!</f>
        <v>#REF!</v>
      </c>
      <c r="K37" s="360" t="e">
        <f>#REF!</f>
        <v>#REF!</v>
      </c>
      <c r="L37" s="374" t="e">
        <f>#REF!</f>
        <v>#REF!</v>
      </c>
      <c r="M37" s="360" t="e">
        <f>#REF!</f>
        <v>#REF!</v>
      </c>
      <c r="N37" s="360" t="e">
        <f>#REF!</f>
        <v>#REF!</v>
      </c>
      <c r="O37" s="360" t="e">
        <f>#REF!</f>
        <v>#REF!</v>
      </c>
      <c r="P37" s="360" t="e">
        <f>#REF!</f>
        <v>#REF!</v>
      </c>
    </row>
    <row r="38" spans="1:16" ht="12.75">
      <c r="A38" s="369" t="e">
        <f>#REF!</f>
        <v>#REF!</v>
      </c>
      <c r="B38" s="360" t="e">
        <f>#REF!</f>
        <v>#REF!</v>
      </c>
      <c r="C38" s="360" t="e">
        <f>#REF!</f>
        <v>#REF!</v>
      </c>
      <c r="D38" s="360" t="e">
        <f>#REF!</f>
        <v>#REF!</v>
      </c>
      <c r="E38" s="360" t="e">
        <f>#REF!</f>
        <v>#REF!</v>
      </c>
      <c r="F38" s="360" t="e">
        <f>#REF!</f>
        <v>#REF!</v>
      </c>
      <c r="G38" s="360" t="e">
        <f>#REF!</f>
        <v>#REF!</v>
      </c>
      <c r="H38" s="360" t="e">
        <f>#REF!</f>
        <v>#REF!</v>
      </c>
      <c r="I38" s="360" t="e">
        <f>#REF!</f>
        <v>#REF!</v>
      </c>
      <c r="J38" s="360" t="e">
        <f>#REF!</f>
        <v>#REF!</v>
      </c>
      <c r="K38" s="360" t="e">
        <f>#REF!</f>
        <v>#REF!</v>
      </c>
      <c r="L38" s="374" t="e">
        <f>#REF!</f>
        <v>#REF!</v>
      </c>
      <c r="M38" s="360" t="e">
        <f>#REF!</f>
        <v>#REF!</v>
      </c>
      <c r="N38" s="360" t="e">
        <f>#REF!</f>
        <v>#REF!</v>
      </c>
      <c r="O38" s="360" t="e">
        <f>#REF!</f>
        <v>#REF!</v>
      </c>
      <c r="P38" s="360" t="e">
        <f>#REF!</f>
        <v>#REF!</v>
      </c>
    </row>
    <row r="39" spans="1:16" ht="12.75">
      <c r="A39" s="369" t="e">
        <f>#REF!</f>
        <v>#REF!</v>
      </c>
      <c r="B39" s="360" t="e">
        <f>#REF!</f>
        <v>#REF!</v>
      </c>
      <c r="C39" s="360" t="e">
        <f>#REF!</f>
        <v>#REF!</v>
      </c>
      <c r="D39" s="360" t="e">
        <f>#REF!</f>
        <v>#REF!</v>
      </c>
      <c r="E39" s="360" t="e">
        <f>#REF!</f>
        <v>#REF!</v>
      </c>
      <c r="F39" s="360" t="e">
        <f>#REF!</f>
        <v>#REF!</v>
      </c>
      <c r="G39" s="360" t="e">
        <f>#REF!</f>
        <v>#REF!</v>
      </c>
      <c r="H39" s="360" t="e">
        <f>#REF!</f>
        <v>#REF!</v>
      </c>
      <c r="I39" s="360" t="e">
        <f>#REF!</f>
        <v>#REF!</v>
      </c>
      <c r="J39" s="360" t="e">
        <f>#REF!</f>
        <v>#REF!</v>
      </c>
      <c r="K39" s="360" t="e">
        <f>#REF!</f>
        <v>#REF!</v>
      </c>
      <c r="L39" s="374" t="e">
        <f>#REF!</f>
        <v>#REF!</v>
      </c>
      <c r="M39" s="360" t="e">
        <f>#REF!</f>
        <v>#REF!</v>
      </c>
      <c r="N39" s="360" t="e">
        <f>#REF!</f>
        <v>#REF!</v>
      </c>
      <c r="O39" s="360" t="e">
        <f>#REF!</f>
        <v>#REF!</v>
      </c>
      <c r="P39" s="360" t="e">
        <f>#REF!</f>
        <v>#REF!</v>
      </c>
    </row>
    <row r="40" spans="1:16" ht="12.75">
      <c r="A40" s="369" t="e">
        <f>#REF!</f>
        <v>#REF!</v>
      </c>
      <c r="B40" s="360" t="e">
        <f>#REF!</f>
        <v>#REF!</v>
      </c>
      <c r="C40" s="360" t="e">
        <f>#REF!</f>
        <v>#REF!</v>
      </c>
      <c r="D40" s="360" t="e">
        <f>#REF!</f>
        <v>#REF!</v>
      </c>
      <c r="E40" s="360" t="e">
        <f>#REF!</f>
        <v>#REF!</v>
      </c>
      <c r="F40" s="360" t="e">
        <f>#REF!</f>
        <v>#REF!</v>
      </c>
      <c r="G40" s="360" t="e">
        <f>#REF!</f>
        <v>#REF!</v>
      </c>
      <c r="H40" s="360" t="e">
        <f>#REF!</f>
        <v>#REF!</v>
      </c>
      <c r="I40" s="360" t="e">
        <f>#REF!</f>
        <v>#REF!</v>
      </c>
      <c r="J40" s="360" t="e">
        <f>#REF!</f>
        <v>#REF!</v>
      </c>
      <c r="K40" s="360" t="e">
        <f>#REF!</f>
        <v>#REF!</v>
      </c>
      <c r="L40" s="374" t="e">
        <f>#REF!</f>
        <v>#REF!</v>
      </c>
      <c r="M40" s="360" t="e">
        <f>#REF!</f>
        <v>#REF!</v>
      </c>
      <c r="N40" s="360" t="e">
        <f>#REF!</f>
        <v>#REF!</v>
      </c>
      <c r="O40" s="360" t="e">
        <f>#REF!</f>
        <v>#REF!</v>
      </c>
      <c r="P40" s="360" t="e">
        <f>#REF!</f>
        <v>#REF!</v>
      </c>
    </row>
    <row r="41" spans="1:16" ht="12.75">
      <c r="A41" s="369" t="e">
        <f>#REF!</f>
        <v>#REF!</v>
      </c>
      <c r="B41" s="360" t="e">
        <f>#REF!</f>
        <v>#REF!</v>
      </c>
      <c r="C41" s="367" t="e">
        <f>#REF!</f>
        <v>#REF!</v>
      </c>
      <c r="D41" s="366" t="e">
        <f>#REF!</f>
        <v>#REF!</v>
      </c>
      <c r="E41" s="366" t="e">
        <f>#REF!</f>
        <v>#REF!</v>
      </c>
      <c r="F41" s="360" t="e">
        <f>#REF!</f>
        <v>#REF!</v>
      </c>
      <c r="G41" s="360" t="e">
        <f>#REF!</f>
        <v>#REF!</v>
      </c>
      <c r="H41" s="366" t="e">
        <f>#REF!</f>
        <v>#REF!</v>
      </c>
      <c r="I41" s="360" t="e">
        <f>#REF!</f>
        <v>#REF!</v>
      </c>
      <c r="J41" s="360" t="e">
        <f>#REF!</f>
        <v>#REF!</v>
      </c>
      <c r="K41" s="360" t="e">
        <f>#REF!</f>
        <v>#REF!</v>
      </c>
      <c r="L41" s="374" t="e">
        <f>#REF!</f>
        <v>#REF!</v>
      </c>
      <c r="M41" s="360" t="e">
        <f>#REF!</f>
        <v>#REF!</v>
      </c>
      <c r="N41" s="360" t="e">
        <f>#REF!</f>
        <v>#REF!</v>
      </c>
      <c r="O41" s="360" t="e">
        <f>#REF!</f>
        <v>#REF!</v>
      </c>
      <c r="P41" s="360" t="e">
        <f>#REF!</f>
        <v>#REF!</v>
      </c>
    </row>
    <row r="42" spans="1:2" ht="12.75">
      <c r="A42" s="267"/>
      <c r="B42" s="360" t="e">
        <f>B33-B41</f>
        <v>#REF!</v>
      </c>
    </row>
    <row r="43" spans="6:7" ht="12.75">
      <c r="F43" s="360"/>
      <c r="G43" s="360"/>
    </row>
    <row r="44" ht="12.75">
      <c r="L44" s="374" t="e">
        <f>L41-L33</f>
        <v>#REF!</v>
      </c>
    </row>
  </sheetData>
  <sheetProtection/>
  <mergeCells count="7">
    <mergeCell ref="K1:K2"/>
    <mergeCell ref="L1:L2"/>
    <mergeCell ref="M1:P1"/>
    <mergeCell ref="A1:A2"/>
    <mergeCell ref="B1:H1"/>
    <mergeCell ref="I1:I2"/>
    <mergeCell ref="J1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26"/>
  </sheetPr>
  <dimension ref="A1:N48"/>
  <sheetViews>
    <sheetView zoomScale="75" zoomScaleNormal="75" zoomScalePageLayoutView="0" workbookViewId="0" topLeftCell="B7">
      <pane xSplit="2" ySplit="2" topLeftCell="F9" activePane="bottomRight" state="frozen"/>
      <selection pane="topLeft" activeCell="A192" sqref="A192:T192"/>
      <selection pane="topRight" activeCell="A192" sqref="A192:T192"/>
      <selection pane="bottomLeft" activeCell="A192" sqref="A192:T192"/>
      <selection pane="bottomRight" activeCell="A192" sqref="A192:T192"/>
    </sheetView>
  </sheetViews>
  <sheetFormatPr defaultColWidth="9.00390625" defaultRowHeight="12.75"/>
  <cols>
    <col min="1" max="1" width="3.875" style="281" customWidth="1"/>
    <col min="2" max="2" width="42.75390625" style="283" customWidth="1"/>
    <col min="3" max="3" width="8.125" style="283" customWidth="1"/>
    <col min="4" max="6" width="9.25390625" style="283" customWidth="1"/>
    <col min="7" max="7" width="11.125" style="283" customWidth="1"/>
    <col min="8" max="10" width="9.25390625" style="283" customWidth="1"/>
    <col min="11" max="11" width="11.125" style="283" customWidth="1"/>
    <col min="12" max="12" width="7.375" style="283" customWidth="1"/>
    <col min="13" max="16384" width="9.125" style="283" customWidth="1"/>
  </cols>
  <sheetData>
    <row r="1" spans="2:4" ht="12.75">
      <c r="B1" s="282"/>
      <c r="C1" s="282"/>
      <c r="D1" s="282"/>
    </row>
    <row r="2" spans="2:4" ht="12.75">
      <c r="B2" s="282"/>
      <c r="C2" s="282"/>
      <c r="D2" s="282"/>
    </row>
    <row r="3" spans="1:6" ht="12.75">
      <c r="A3" s="284" t="s">
        <v>62</v>
      </c>
      <c r="B3" s="282" t="s">
        <v>63</v>
      </c>
      <c r="C3" s="282"/>
      <c r="D3" s="282"/>
      <c r="E3" s="284"/>
      <c r="F3" s="284"/>
    </row>
    <row r="4" spans="1:6" ht="12.75">
      <c r="A4" s="283"/>
      <c r="B4" s="284"/>
      <c r="C4" s="284"/>
      <c r="D4" s="284"/>
      <c r="E4" s="284"/>
      <c r="F4" s="284"/>
    </row>
    <row r="5" ht="12.75"/>
    <row r="6" spans="1:11" ht="4.5" customHeight="1">
      <c r="A6" s="1049" t="s">
        <v>64</v>
      </c>
      <c r="B6" s="1052"/>
      <c r="C6" s="1055" t="s">
        <v>65</v>
      </c>
      <c r="D6" s="1058" t="s">
        <v>66</v>
      </c>
      <c r="E6" s="1059"/>
      <c r="F6" s="1059"/>
      <c r="G6" s="1059"/>
      <c r="H6" s="1059"/>
      <c r="I6" s="1059"/>
      <c r="J6" s="1059"/>
      <c r="K6" s="1060"/>
    </row>
    <row r="7" spans="1:11" ht="12.75">
      <c r="A7" s="1050"/>
      <c r="B7" s="1053"/>
      <c r="C7" s="1056"/>
      <c r="D7" s="1061"/>
      <c r="E7" s="1062"/>
      <c r="F7" s="1062"/>
      <c r="G7" s="1062"/>
      <c r="H7" s="1062"/>
      <c r="I7" s="1062"/>
      <c r="J7" s="1062"/>
      <c r="K7" s="1063"/>
    </row>
    <row r="8" spans="1:11" ht="18.75" customHeight="1">
      <c r="A8" s="1051"/>
      <c r="B8" s="1054"/>
      <c r="C8" s="1057"/>
      <c r="D8" s="285" t="s">
        <v>67</v>
      </c>
      <c r="E8" s="285" t="s">
        <v>68</v>
      </c>
      <c r="F8" s="285" t="s">
        <v>60</v>
      </c>
      <c r="G8" s="285" t="s">
        <v>727</v>
      </c>
      <c r="H8" s="285" t="s">
        <v>728</v>
      </c>
      <c r="I8" s="285" t="s">
        <v>729</v>
      </c>
      <c r="J8" s="285" t="s">
        <v>730</v>
      </c>
      <c r="K8" s="285" t="s">
        <v>731</v>
      </c>
    </row>
    <row r="9" spans="1:11" ht="12.75">
      <c r="A9" s="286" t="s">
        <v>69</v>
      </c>
      <c r="B9" s="287" t="s">
        <v>735</v>
      </c>
      <c r="C9" s="288"/>
      <c r="D9" s="289">
        <v>15813</v>
      </c>
      <c r="E9" s="285">
        <v>15562</v>
      </c>
      <c r="F9" s="285">
        <v>15278</v>
      </c>
      <c r="G9" s="285">
        <v>15211</v>
      </c>
      <c r="H9" s="285">
        <v>15190</v>
      </c>
      <c r="I9" s="285">
        <v>15198</v>
      </c>
      <c r="J9" s="285">
        <v>15255</v>
      </c>
      <c r="K9" s="285">
        <v>15301</v>
      </c>
    </row>
    <row r="10" spans="1:13" ht="29.25" customHeight="1">
      <c r="A10" s="286" t="s">
        <v>70</v>
      </c>
      <c r="B10" s="287" t="s">
        <v>71</v>
      </c>
      <c r="C10" s="288" t="s">
        <v>47</v>
      </c>
      <c r="D10" s="289">
        <v>9551</v>
      </c>
      <c r="E10" s="285">
        <v>9320</v>
      </c>
      <c r="F10" s="285">
        <v>9150</v>
      </c>
      <c r="G10" s="290">
        <f>G9*$M$10</f>
        <v>9109.873674564735</v>
      </c>
      <c r="H10" s="290">
        <f>H9*$M$10</f>
        <v>9097.296766592486</v>
      </c>
      <c r="I10" s="290">
        <f>I9*$M$10</f>
        <v>9102.087969629532</v>
      </c>
      <c r="J10" s="290">
        <f>J9*$M$10</f>
        <v>9136.22529126849</v>
      </c>
      <c r="K10" s="290">
        <f>K9*$M$10</f>
        <v>9163.77470873151</v>
      </c>
      <c r="M10" s="283">
        <f>F10/F9</f>
        <v>0.5989003796308418</v>
      </c>
    </row>
    <row r="11" spans="1:11" ht="21" customHeight="1">
      <c r="A11" s="286" t="s">
        <v>72</v>
      </c>
      <c r="B11" s="291" t="s">
        <v>73</v>
      </c>
      <c r="C11" s="292" t="s">
        <v>47</v>
      </c>
      <c r="D11" s="293">
        <v>4131</v>
      </c>
      <c r="E11" s="292">
        <v>4080</v>
      </c>
      <c r="F11" s="292">
        <v>2784</v>
      </c>
      <c r="G11" s="292">
        <v>4301</v>
      </c>
      <c r="H11" s="292">
        <v>5321</v>
      </c>
      <c r="I11" s="292">
        <v>6337</v>
      </c>
      <c r="J11" s="292">
        <v>7306</v>
      </c>
      <c r="K11" s="292">
        <v>8219</v>
      </c>
    </row>
    <row r="12" spans="1:11" ht="12.75">
      <c r="A12" s="286"/>
      <c r="B12" s="294" t="s">
        <v>74</v>
      </c>
      <c r="C12" s="285"/>
      <c r="D12" s="289"/>
      <c r="E12" s="285"/>
      <c r="F12" s="285"/>
      <c r="G12" s="285"/>
      <c r="H12" s="285"/>
      <c r="I12" s="285"/>
      <c r="J12" s="285"/>
      <c r="K12" s="285"/>
    </row>
    <row r="13" spans="1:11" s="298" customFormat="1" ht="21.75" customHeight="1">
      <c r="A13" s="295" t="s">
        <v>75</v>
      </c>
      <c r="B13" s="296" t="s">
        <v>76</v>
      </c>
      <c r="C13" s="288" t="s">
        <v>47</v>
      </c>
      <c r="D13" s="297">
        <v>2433</v>
      </c>
      <c r="E13" s="288">
        <v>2406</v>
      </c>
      <c r="F13" s="288">
        <f aca="true" t="shared" si="0" ref="F13:K13">F14+F15</f>
        <v>995</v>
      </c>
      <c r="G13" s="288">
        <f t="shared" si="0"/>
        <v>993</v>
      </c>
      <c r="H13" s="288">
        <f t="shared" si="0"/>
        <v>977</v>
      </c>
      <c r="I13" s="288">
        <f t="shared" si="0"/>
        <v>961</v>
      </c>
      <c r="J13" s="288">
        <f t="shared" si="0"/>
        <v>945</v>
      </c>
      <c r="K13" s="288">
        <f t="shared" si="0"/>
        <v>370</v>
      </c>
    </row>
    <row r="14" spans="1:13" ht="12.75">
      <c r="A14" s="286" t="s">
        <v>77</v>
      </c>
      <c r="B14" s="299" t="s">
        <v>59</v>
      </c>
      <c r="C14" s="288" t="s">
        <v>47</v>
      </c>
      <c r="D14" s="289">
        <v>2298</v>
      </c>
      <c r="E14" s="285">
        <v>2291</v>
      </c>
      <c r="F14" s="285">
        <v>885</v>
      </c>
      <c r="G14" s="285">
        <v>885</v>
      </c>
      <c r="H14" s="285">
        <f>G14-14</f>
        <v>871</v>
      </c>
      <c r="I14" s="285">
        <f>H14-14</f>
        <v>857</v>
      </c>
      <c r="J14" s="285">
        <f>I14-14</f>
        <v>843</v>
      </c>
      <c r="K14" s="285">
        <v>270</v>
      </c>
      <c r="M14" s="300"/>
    </row>
    <row r="15" spans="1:12" ht="12.75">
      <c r="A15" s="286" t="s">
        <v>78</v>
      </c>
      <c r="B15" s="301" t="s">
        <v>79</v>
      </c>
      <c r="C15" s="288" t="s">
        <v>47</v>
      </c>
      <c r="D15" s="289">
        <f>D13-D14</f>
        <v>135</v>
      </c>
      <c r="E15" s="285">
        <f>E13-E14</f>
        <v>115</v>
      </c>
      <c r="F15" s="285">
        <v>110</v>
      </c>
      <c r="G15" s="285">
        <f>F15-2</f>
        <v>108</v>
      </c>
      <c r="H15" s="285">
        <f>G15-2</f>
        <v>106</v>
      </c>
      <c r="I15" s="285">
        <f>H15-2</f>
        <v>104</v>
      </c>
      <c r="J15" s="285">
        <f>I15-2</f>
        <v>102</v>
      </c>
      <c r="K15" s="285">
        <f>J15-2</f>
        <v>100</v>
      </c>
      <c r="L15" s="302"/>
    </row>
    <row r="16" spans="1:11" ht="12.75">
      <c r="A16" s="286" t="s">
        <v>80</v>
      </c>
      <c r="B16" s="296" t="s">
        <v>81</v>
      </c>
      <c r="C16" s="288" t="s">
        <v>47</v>
      </c>
      <c r="D16" s="289">
        <v>276</v>
      </c>
      <c r="E16" s="285">
        <f>108+128</f>
        <v>236</v>
      </c>
      <c r="F16" s="285">
        <f>108+121</f>
        <v>229</v>
      </c>
      <c r="G16" s="285">
        <f>F16+5</f>
        <v>234</v>
      </c>
      <c r="H16" s="285">
        <f>G16+5</f>
        <v>239</v>
      </c>
      <c r="I16" s="285">
        <f>H16+5</f>
        <v>244</v>
      </c>
      <c r="J16" s="285">
        <f>I16+5</f>
        <v>249</v>
      </c>
      <c r="K16" s="285">
        <f>J16+5</f>
        <v>254</v>
      </c>
    </row>
    <row r="17" spans="1:11" ht="12.75">
      <c r="A17" s="286" t="s">
        <v>82</v>
      </c>
      <c r="B17" s="287" t="s">
        <v>83</v>
      </c>
      <c r="C17" s="288" t="s">
        <v>47</v>
      </c>
      <c r="D17" s="289">
        <v>360</v>
      </c>
      <c r="E17" s="285">
        <v>370</v>
      </c>
      <c r="F17" s="285">
        <v>395</v>
      </c>
      <c r="G17" s="285">
        <f>F17+8</f>
        <v>403</v>
      </c>
      <c r="H17" s="285">
        <f>G17+8</f>
        <v>411</v>
      </c>
      <c r="I17" s="285">
        <f>H17+8</f>
        <v>419</v>
      </c>
      <c r="J17" s="285">
        <f>I17+8</f>
        <v>427</v>
      </c>
      <c r="K17" s="285">
        <f>J17+8</f>
        <v>435</v>
      </c>
    </row>
    <row r="18" spans="1:11" ht="12.75">
      <c r="A18" s="235">
        <v>11</v>
      </c>
      <c r="B18" s="287" t="s">
        <v>84</v>
      </c>
      <c r="C18" s="288" t="s">
        <v>47</v>
      </c>
      <c r="D18" s="289">
        <v>49</v>
      </c>
      <c r="E18" s="285">
        <v>48</v>
      </c>
      <c r="F18" s="285">
        <v>49</v>
      </c>
      <c r="G18" s="285">
        <f>F18</f>
        <v>49</v>
      </c>
      <c r="H18" s="285">
        <v>48</v>
      </c>
      <c r="I18" s="285">
        <f>H18</f>
        <v>48</v>
      </c>
      <c r="J18" s="285">
        <f>I18</f>
        <v>48</v>
      </c>
      <c r="K18" s="285">
        <f>J18</f>
        <v>48</v>
      </c>
    </row>
    <row r="19" spans="1:11" ht="18" customHeight="1">
      <c r="A19" s="286"/>
      <c r="B19" s="287" t="s">
        <v>85</v>
      </c>
      <c r="C19" s="288"/>
      <c r="D19" s="289">
        <v>849</v>
      </c>
      <c r="E19" s="285">
        <v>851</v>
      </c>
      <c r="F19" s="290">
        <v>863</v>
      </c>
      <c r="G19" s="290">
        <f>F19*101%</f>
        <v>871.63</v>
      </c>
      <c r="H19" s="290">
        <f>G19*101%</f>
        <v>880.3463</v>
      </c>
      <c r="I19" s="290">
        <f>H19*101%</f>
        <v>889.149763</v>
      </c>
      <c r="J19" s="290">
        <f>I19*101%</f>
        <v>898.04126063</v>
      </c>
      <c r="K19" s="290">
        <f>J19*101%</f>
        <v>907.0216732363</v>
      </c>
    </row>
    <row r="20" spans="1:11" ht="18" customHeight="1">
      <c r="A20" s="286"/>
      <c r="B20" s="287" t="s">
        <v>86</v>
      </c>
      <c r="C20" s="288"/>
      <c r="D20" s="289">
        <f>D11-D13-D16-D17-D18-D19</f>
        <v>164</v>
      </c>
      <c r="E20" s="289">
        <f>E11-E13-E16-E17-E18-E19</f>
        <v>169</v>
      </c>
      <c r="F20" s="289">
        <f>F11-F13-F16-F17-F18-F19</f>
        <v>253</v>
      </c>
      <c r="G20" s="289">
        <f>F20-5</f>
        <v>248</v>
      </c>
      <c r="H20" s="289">
        <f>G20-5</f>
        <v>243</v>
      </c>
      <c r="I20" s="289">
        <f>H20-5</f>
        <v>238</v>
      </c>
      <c r="J20" s="289">
        <f>I20-5</f>
        <v>233</v>
      </c>
      <c r="K20" s="289">
        <f>J20-5</f>
        <v>228</v>
      </c>
    </row>
    <row r="21" spans="1:12" ht="18" customHeight="1" thickBot="1">
      <c r="A21" s="303"/>
      <c r="B21" s="420" t="s">
        <v>87</v>
      </c>
      <c r="C21" s="421"/>
      <c r="D21" s="422"/>
      <c r="E21" s="423"/>
      <c r="F21" s="423"/>
      <c r="G21" s="440">
        <v>831</v>
      </c>
      <c r="H21" s="440">
        <v>622.3255</v>
      </c>
      <c r="I21" s="440">
        <v>576.3852499999998</v>
      </c>
      <c r="J21" s="440">
        <v>791.5247499999998</v>
      </c>
      <c r="K21" s="440">
        <f>1237.206-(831-767)</f>
        <v>1173.206</v>
      </c>
      <c r="L21" s="315">
        <f>SUM(G21:K21)</f>
        <v>3994.4415</v>
      </c>
    </row>
    <row r="22" spans="1:12" s="298" customFormat="1" ht="21.75" customHeight="1">
      <c r="A22" s="417" t="s">
        <v>75</v>
      </c>
      <c r="B22" s="428" t="s">
        <v>76</v>
      </c>
      <c r="C22" s="441" t="s">
        <v>47</v>
      </c>
      <c r="D22" s="444"/>
      <c r="E22" s="429"/>
      <c r="F22" s="429">
        <f>F23+F24</f>
        <v>0</v>
      </c>
      <c r="G22" s="430" t="e">
        <f>SUM(G23:G24)</f>
        <v>#REF!</v>
      </c>
      <c r="H22" s="430" t="e">
        <f>SUM(H23:H24)</f>
        <v>#REF!</v>
      </c>
      <c r="I22" s="430" t="e">
        <f>SUM(I23:I24)</f>
        <v>#REF!</v>
      </c>
      <c r="J22" s="430" t="e">
        <f>SUM(J23:J24)</f>
        <v>#REF!</v>
      </c>
      <c r="K22" s="431" t="e">
        <f>SUM(K23:K24)</f>
        <v>#REF!</v>
      </c>
      <c r="L22" s="315"/>
    </row>
    <row r="23" spans="1:12" ht="12.75">
      <c r="A23" s="418" t="s">
        <v>77</v>
      </c>
      <c r="B23" s="432" t="s">
        <v>59</v>
      </c>
      <c r="C23" s="442" t="s">
        <v>47</v>
      </c>
      <c r="D23" s="445"/>
      <c r="E23" s="414"/>
      <c r="F23" s="414"/>
      <c r="G23" s="449">
        <v>394</v>
      </c>
      <c r="H23" s="449">
        <v>0</v>
      </c>
      <c r="I23" s="449">
        <v>0</v>
      </c>
      <c r="J23" s="449">
        <v>0</v>
      </c>
      <c r="K23" s="450">
        <v>0</v>
      </c>
      <c r="L23" s="315"/>
    </row>
    <row r="24" spans="1:12" ht="12.75">
      <c r="A24" s="418" t="s">
        <v>78</v>
      </c>
      <c r="B24" s="433" t="s">
        <v>86</v>
      </c>
      <c r="C24" s="442" t="s">
        <v>47</v>
      </c>
      <c r="D24" s="445"/>
      <c r="E24" s="414"/>
      <c r="F24" s="414"/>
      <c r="G24" s="449" t="e">
        <f>#REF!</f>
        <v>#REF!</v>
      </c>
      <c r="H24" s="449" t="e">
        <f>#REF!</f>
        <v>#REF!</v>
      </c>
      <c r="I24" s="449" t="e">
        <f>#REF!</f>
        <v>#REF!</v>
      </c>
      <c r="J24" s="449" t="e">
        <f>#REF!</f>
        <v>#REF!</v>
      </c>
      <c r="K24" s="450" t="e">
        <f>#REF!</f>
        <v>#REF!</v>
      </c>
      <c r="L24" s="315"/>
    </row>
    <row r="25" spans="1:12" ht="12.75">
      <c r="A25" s="418" t="s">
        <v>80</v>
      </c>
      <c r="B25" s="434" t="s">
        <v>81</v>
      </c>
      <c r="C25" s="442" t="s">
        <v>47</v>
      </c>
      <c r="D25" s="445"/>
      <c r="E25" s="414"/>
      <c r="F25" s="414"/>
      <c r="G25" s="415" t="e">
        <f>#REF!</f>
        <v>#REF!</v>
      </c>
      <c r="H25" s="415" t="e">
        <f>#REF!</f>
        <v>#REF!</v>
      </c>
      <c r="I25" s="415" t="e">
        <f>#REF!</f>
        <v>#REF!</v>
      </c>
      <c r="J25" s="415" t="e">
        <f>#REF!</f>
        <v>#REF!</v>
      </c>
      <c r="K25" s="435" t="e">
        <f>#REF!</f>
        <v>#REF!</v>
      </c>
      <c r="L25" s="315"/>
    </row>
    <row r="26" spans="1:14" ht="12.75">
      <c r="A26" s="418" t="s">
        <v>82</v>
      </c>
      <c r="B26" s="436" t="s">
        <v>83</v>
      </c>
      <c r="C26" s="442" t="s">
        <v>47</v>
      </c>
      <c r="D26" s="445"/>
      <c r="E26" s="414"/>
      <c r="F26" s="414"/>
      <c r="G26" s="415" t="e">
        <f>#REF!+#REF!+#REF!+#REF!</f>
        <v>#REF!</v>
      </c>
      <c r="H26" s="415" t="e">
        <f>#REF!+#REF!+#REF!+#REF!+10</f>
        <v>#REF!</v>
      </c>
      <c r="I26" s="415" t="e">
        <f>#REF!+#REF!+#REF!+#REF!+50</f>
        <v>#REF!</v>
      </c>
      <c r="J26" s="415" t="e">
        <f>#REF!+#REF!+#REF!+#REF!+100</f>
        <v>#REF!</v>
      </c>
      <c r="K26" s="435" t="e">
        <f>#REF!+#REF!+#REF!+#REF!+70</f>
        <v>#REF!</v>
      </c>
      <c r="L26" s="315"/>
      <c r="N26" s="415"/>
    </row>
    <row r="27" spans="1:14" ht="12.75">
      <c r="A27" s="419">
        <v>11</v>
      </c>
      <c r="B27" s="436" t="s">
        <v>84</v>
      </c>
      <c r="C27" s="442" t="s">
        <v>47</v>
      </c>
      <c r="D27" s="445"/>
      <c r="E27" s="414"/>
      <c r="F27" s="414"/>
      <c r="G27" s="416"/>
      <c r="H27" s="416">
        <v>35</v>
      </c>
      <c r="I27" s="416">
        <v>35</v>
      </c>
      <c r="J27" s="416" t="e">
        <f>(J21-J22-J25-J26-J28)/2</f>
        <v>#REF!</v>
      </c>
      <c r="K27" s="437" t="e">
        <f>(L21-G30-H30-I30-J30-K22-K25-K26-K28)/3</f>
        <v>#REF!</v>
      </c>
      <c r="L27" s="315"/>
      <c r="N27" s="415"/>
    </row>
    <row r="28" spans="1:12" ht="18" customHeight="1">
      <c r="A28" s="418"/>
      <c r="B28" s="436" t="s">
        <v>85</v>
      </c>
      <c r="C28" s="442"/>
      <c r="D28" s="445"/>
      <c r="E28" s="414"/>
      <c r="F28" s="414"/>
      <c r="G28" s="416">
        <f>36</f>
        <v>36</v>
      </c>
      <c r="H28" s="416">
        <v>15</v>
      </c>
      <c r="I28" s="416">
        <v>15</v>
      </c>
      <c r="J28" s="416">
        <v>45</v>
      </c>
      <c r="K28" s="437">
        <v>30</v>
      </c>
      <c r="L28" s="315"/>
    </row>
    <row r="29" spans="1:12" ht="18" customHeight="1">
      <c r="A29" s="418"/>
      <c r="B29" s="451" t="s">
        <v>86</v>
      </c>
      <c r="C29" s="452"/>
      <c r="D29" s="453"/>
      <c r="E29" s="454"/>
      <c r="F29" s="454"/>
      <c r="G29" s="455">
        <v>0</v>
      </c>
      <c r="H29" s="455">
        <v>20</v>
      </c>
      <c r="I29" s="455">
        <v>0</v>
      </c>
      <c r="J29" s="455" t="e">
        <f>J21-J22-J25-J26-J27-J28</f>
        <v>#REF!</v>
      </c>
      <c r="K29" s="455">
        <f>499/3*2</f>
        <v>332.6666666666667</v>
      </c>
      <c r="L29" s="315"/>
    </row>
    <row r="30" spans="1:14" ht="18" customHeight="1" thickBot="1">
      <c r="A30" s="418"/>
      <c r="B30" s="438" t="s">
        <v>388</v>
      </c>
      <c r="C30" s="443"/>
      <c r="D30" s="446"/>
      <c r="E30" s="439"/>
      <c r="F30" s="439"/>
      <c r="G30" s="448" t="e">
        <f>G22+G25+G26+G27+G28+G29</f>
        <v>#REF!</v>
      </c>
      <c r="H30" s="448" t="e">
        <f>H22+H25+H26+H27+H28+H29</f>
        <v>#REF!</v>
      </c>
      <c r="I30" s="448" t="e">
        <f>I22+I25+I26+I27+I28+I29</f>
        <v>#REF!</v>
      </c>
      <c r="J30" s="448" t="e">
        <f>J22+J25+J26+J27+J28+J29</f>
        <v>#REF!</v>
      </c>
      <c r="K30" s="448" t="e">
        <f>K22+K25+K26+K27+K28+K29</f>
        <v>#REF!</v>
      </c>
      <c r="L30" s="315" t="e">
        <f>SUM(G30:K30)</f>
        <v>#REF!</v>
      </c>
      <c r="N30" s="377"/>
    </row>
    <row r="31" spans="1:12" ht="21" customHeight="1">
      <c r="A31" s="286" t="s">
        <v>72</v>
      </c>
      <c r="B31" s="424" t="s">
        <v>73</v>
      </c>
      <c r="C31" s="425" t="s">
        <v>47</v>
      </c>
      <c r="D31" s="426">
        <v>4131</v>
      </c>
      <c r="E31" s="425">
        <v>4080</v>
      </c>
      <c r="F31" s="425">
        <v>2784</v>
      </c>
      <c r="G31" s="427" t="e">
        <f>G32+G35+G36+G37+G38+G39</f>
        <v>#REF!</v>
      </c>
      <c r="H31" s="427" t="e">
        <f>H32+H35+H36+H37+H38+H39</f>
        <v>#REF!</v>
      </c>
      <c r="I31" s="427" t="e">
        <f>I32+I35+I36+I37+I38+I39</f>
        <v>#REF!</v>
      </c>
      <c r="J31" s="427" t="e">
        <f>J32+J35+J36+J37+J38+J39</f>
        <v>#REF!</v>
      </c>
      <c r="K31" s="427" t="e">
        <f>K32+K35+K36+K37+K38+K39</f>
        <v>#REF!</v>
      </c>
      <c r="L31" s="377"/>
    </row>
    <row r="32" spans="1:12" s="298" customFormat="1" ht="18" customHeight="1">
      <c r="A32" s="295" t="s">
        <v>75</v>
      </c>
      <c r="B32" s="310" t="s">
        <v>76</v>
      </c>
      <c r="C32" s="305" t="s">
        <v>47</v>
      </c>
      <c r="D32" s="308">
        <v>2433</v>
      </c>
      <c r="E32" s="305">
        <v>2406</v>
      </c>
      <c r="F32" s="305">
        <f>F33+F34</f>
        <v>995</v>
      </c>
      <c r="G32" s="305" t="e">
        <f>SUM(G33:G34)</f>
        <v>#REF!</v>
      </c>
      <c r="H32" s="305" t="e">
        <f>SUM(H33:H34)</f>
        <v>#REF!</v>
      </c>
      <c r="I32" s="305" t="e">
        <f>SUM(I33:I34)</f>
        <v>#REF!</v>
      </c>
      <c r="J32" s="309" t="e">
        <f>SUM(J33:J34)</f>
        <v>#REF!</v>
      </c>
      <c r="K32" s="305" t="e">
        <f>SUM(K33:K34)</f>
        <v>#REF!</v>
      </c>
      <c r="L32" s="447"/>
    </row>
    <row r="33" spans="1:11" ht="12.75">
      <c r="A33" s="286" t="s">
        <v>77</v>
      </c>
      <c r="B33" s="311" t="s">
        <v>59</v>
      </c>
      <c r="C33" s="305" t="s">
        <v>47</v>
      </c>
      <c r="D33" s="306">
        <v>2298</v>
      </c>
      <c r="E33" s="307">
        <v>2291</v>
      </c>
      <c r="F33" s="307">
        <v>885</v>
      </c>
      <c r="G33" s="305">
        <f>G14+G23</f>
        <v>1279</v>
      </c>
      <c r="H33" s="305">
        <f>H14+G23</f>
        <v>1265</v>
      </c>
      <c r="I33" s="305">
        <f>I14+$G$23</f>
        <v>1251</v>
      </c>
      <c r="J33" s="309">
        <f>J14+$G$23-J43*0.5</f>
        <v>933.5</v>
      </c>
      <c r="K33" s="305">
        <v>570</v>
      </c>
    </row>
    <row r="34" spans="1:12" ht="12.75">
      <c r="A34" s="286" t="s">
        <v>78</v>
      </c>
      <c r="B34" s="312" t="s">
        <v>86</v>
      </c>
      <c r="C34" s="305" t="s">
        <v>47</v>
      </c>
      <c r="D34" s="306">
        <f>D32-D33</f>
        <v>135</v>
      </c>
      <c r="E34" s="307">
        <f>E32-E33</f>
        <v>115</v>
      </c>
      <c r="F34" s="307">
        <v>110</v>
      </c>
      <c r="G34" s="305" t="e">
        <f>G15+G24</f>
        <v>#REF!</v>
      </c>
      <c r="H34" s="305" t="e">
        <f>H15+H24+G24</f>
        <v>#REF!</v>
      </c>
      <c r="I34" s="305" t="e">
        <f>I15+I24+H24+G24</f>
        <v>#REF!</v>
      </c>
      <c r="J34" s="305" t="e">
        <f>J15+J24+I24+H24+G24</f>
        <v>#REF!</v>
      </c>
      <c r="K34" s="305" t="e">
        <f>K15+K24+I24+H24+G24</f>
        <v>#REF!</v>
      </c>
      <c r="L34" s="302"/>
    </row>
    <row r="35" spans="1:11" ht="12.75">
      <c r="A35" s="286" t="s">
        <v>80</v>
      </c>
      <c r="B35" s="310" t="s">
        <v>81</v>
      </c>
      <c r="C35" s="305" t="s">
        <v>47</v>
      </c>
      <c r="D35" s="306">
        <v>276</v>
      </c>
      <c r="E35" s="307">
        <f>108+128</f>
        <v>236</v>
      </c>
      <c r="F35" s="307">
        <f>108+121</f>
        <v>229</v>
      </c>
      <c r="G35" s="386" t="e">
        <f>G16+G25</f>
        <v>#REF!</v>
      </c>
      <c r="H35" s="386" t="e">
        <f>H16+H25+G25</f>
        <v>#REF!</v>
      </c>
      <c r="I35" s="386" t="e">
        <f>I16+I25+H25+G25</f>
        <v>#REF!</v>
      </c>
      <c r="J35" s="386" t="e">
        <f>J16+J25+I25+H25+G25</f>
        <v>#REF!</v>
      </c>
      <c r="K35" s="386" t="e">
        <f>K16+K25+J25+I25+H25+G25</f>
        <v>#REF!</v>
      </c>
    </row>
    <row r="36" spans="1:11" ht="12.75">
      <c r="A36" s="286" t="s">
        <v>82</v>
      </c>
      <c r="B36" s="304" t="s">
        <v>83</v>
      </c>
      <c r="C36" s="305" t="s">
        <v>47</v>
      </c>
      <c r="D36" s="306">
        <v>360</v>
      </c>
      <c r="E36" s="307">
        <v>370</v>
      </c>
      <c r="F36" s="307">
        <v>395</v>
      </c>
      <c r="G36" s="309" t="e">
        <f>G17+G26-G43*0.5</f>
        <v>#REF!</v>
      </c>
      <c r="H36" s="309" t="e">
        <f>H17+H26-H43*0.5+G26</f>
        <v>#REF!</v>
      </c>
      <c r="I36" s="309" t="e">
        <f>I17+I26-I43*0.5+H26+G26</f>
        <v>#REF!</v>
      </c>
      <c r="J36" s="309" t="e">
        <f>J17+J26+I26+H26+G26</f>
        <v>#REF!</v>
      </c>
      <c r="K36" s="309" t="e">
        <f>K17+K26+J26+I26+H26+G26</f>
        <v>#REF!</v>
      </c>
    </row>
    <row r="37" spans="1:11" ht="12.75">
      <c r="A37" s="235">
        <v>11</v>
      </c>
      <c r="B37" s="304" t="s">
        <v>84</v>
      </c>
      <c r="C37" s="305" t="s">
        <v>47</v>
      </c>
      <c r="D37" s="306">
        <v>49</v>
      </c>
      <c r="E37" s="307">
        <v>48</v>
      </c>
      <c r="F37" s="307">
        <v>49</v>
      </c>
      <c r="G37" s="309">
        <f>G18+G27</f>
        <v>49</v>
      </c>
      <c r="H37" s="309">
        <f>H18+H27</f>
        <v>83</v>
      </c>
      <c r="I37" s="309">
        <f>I18+I27+H27</f>
        <v>118</v>
      </c>
      <c r="J37" s="309" t="e">
        <f>J18+J27+I27+H27</f>
        <v>#REF!</v>
      </c>
      <c r="K37" s="309" t="e">
        <f>K18+K27+J27+I27+H27</f>
        <v>#REF!</v>
      </c>
    </row>
    <row r="38" spans="1:11" ht="18" customHeight="1">
      <c r="A38" s="286"/>
      <c r="B38" s="304" t="s">
        <v>85</v>
      </c>
      <c r="C38" s="305"/>
      <c r="D38" s="306">
        <v>849</v>
      </c>
      <c r="E38" s="307">
        <v>851</v>
      </c>
      <c r="F38" s="456">
        <v>863</v>
      </c>
      <c r="G38" s="309">
        <f>G19+G28-G42*0.5</f>
        <v>797.63</v>
      </c>
      <c r="H38" s="309">
        <f>H19+H28-H42*0.5+G28</f>
        <v>865.3463</v>
      </c>
      <c r="I38" s="309">
        <f>I19+I28-I42*0.5+H28+G28</f>
        <v>900.149763</v>
      </c>
      <c r="J38" s="309">
        <f>J19+J28+I28+H28+G28</f>
        <v>1009.04126063</v>
      </c>
      <c r="K38" s="309">
        <f>K19+K28+J28+I28+H28+G28</f>
        <v>1048.0216732363</v>
      </c>
    </row>
    <row r="39" spans="1:11" ht="18" customHeight="1">
      <c r="A39" s="286"/>
      <c r="B39" s="304" t="s">
        <v>88</v>
      </c>
      <c r="C39" s="305"/>
      <c r="D39" s="306"/>
      <c r="E39" s="307"/>
      <c r="F39" s="456">
        <f>F31-F32-F35-F36-F37-F38</f>
        <v>253</v>
      </c>
      <c r="G39" s="309">
        <f>G20+G29</f>
        <v>248</v>
      </c>
      <c r="H39" s="309">
        <f>H20+H29+G29</f>
        <v>263</v>
      </c>
      <c r="I39" s="309">
        <f>I20+I29+H29+G29</f>
        <v>258</v>
      </c>
      <c r="J39" s="309" t="e">
        <f>J20+J29+I29+H29+G29</f>
        <v>#REF!</v>
      </c>
      <c r="K39" s="309" t="e">
        <f>K20+K29+J29+I29+H29+G29</f>
        <v>#REF!</v>
      </c>
    </row>
    <row r="40" spans="1:11" ht="23.25" customHeight="1" hidden="1">
      <c r="A40" s="286" t="s">
        <v>89</v>
      </c>
      <c r="B40" s="287" t="s">
        <v>90</v>
      </c>
      <c r="C40" s="288"/>
      <c r="D40" s="289"/>
      <c r="E40" s="285"/>
      <c r="F40" s="285"/>
      <c r="G40" s="290" t="e">
        <f>G22+G25+G26+G27+G28</f>
        <v>#REF!</v>
      </c>
      <c r="H40" s="290" t="e">
        <f>H22+H25+H26+H27+H28</f>
        <v>#REF!</v>
      </c>
      <c r="I40" s="290" t="e">
        <f>I22+I25+I26+I27+I28</f>
        <v>#REF!</v>
      </c>
      <c r="J40" s="290" t="e">
        <f>J22+J25+J26+J27+J28</f>
        <v>#REF!</v>
      </c>
      <c r="K40" s="290" t="e">
        <f>K22+K25+K26+K27+K28</f>
        <v>#REF!</v>
      </c>
    </row>
    <row r="41" spans="1:11" ht="31.5">
      <c r="A41" s="286" t="s">
        <v>72</v>
      </c>
      <c r="B41" s="313" t="s">
        <v>94</v>
      </c>
      <c r="C41" s="288" t="s">
        <v>47</v>
      </c>
      <c r="D41" s="413">
        <v>161</v>
      </c>
      <c r="E41" s="413">
        <v>299</v>
      </c>
      <c r="F41" s="413">
        <v>886</v>
      </c>
      <c r="G41" s="413">
        <v>240</v>
      </c>
      <c r="H41" s="413">
        <v>192</v>
      </c>
      <c r="I41" s="413">
        <v>189</v>
      </c>
      <c r="J41" s="413">
        <f>(J43-'Сетевой график'!K18)*0.9</f>
        <v>242.1</v>
      </c>
      <c r="K41" s="413">
        <f>(K43-'Сетевой график'!M18)*0.9</f>
        <v>273.6</v>
      </c>
    </row>
    <row r="42" spans="1:11" ht="15.75">
      <c r="A42" s="286" t="s">
        <v>95</v>
      </c>
      <c r="B42" s="314" t="s">
        <v>96</v>
      </c>
      <c r="C42" s="288" t="s">
        <v>47</v>
      </c>
      <c r="D42" s="289"/>
      <c r="E42" s="285"/>
      <c r="F42" s="285">
        <v>483</v>
      </c>
      <c r="G42" s="285">
        <v>220</v>
      </c>
      <c r="H42" s="285">
        <f>H43-'Сетевой график'!G18</f>
        <v>132</v>
      </c>
      <c r="I42" s="285">
        <v>110</v>
      </c>
      <c r="J42" s="285">
        <v>220</v>
      </c>
      <c r="K42" s="285">
        <v>440</v>
      </c>
    </row>
    <row r="43" spans="1:11" ht="15.75">
      <c r="A43" s="286"/>
      <c r="B43" s="314" t="s">
        <v>97</v>
      </c>
      <c r="C43" s="288"/>
      <c r="D43" s="289"/>
      <c r="E43" s="285"/>
      <c r="F43" s="285">
        <v>1674</v>
      </c>
      <c r="G43" s="285">
        <f>'Сетевой график'!D18</f>
        <v>201</v>
      </c>
      <c r="H43" s="285">
        <f>'Сетевой график'!F18</f>
        <v>203</v>
      </c>
      <c r="I43" s="285">
        <f>'Сетевой график'!H18</f>
        <v>208</v>
      </c>
      <c r="J43" s="285">
        <f>'Сетевой график'!J18</f>
        <v>607</v>
      </c>
      <c r="K43" s="285">
        <f>'Сетевой график'!L18</f>
        <v>705</v>
      </c>
    </row>
    <row r="44" spans="6:11" ht="12.75">
      <c r="F44" s="315">
        <f aca="true" t="shared" si="1" ref="F44:K44">F41/F43*100</f>
        <v>52.92712066905615</v>
      </c>
      <c r="G44" s="315">
        <f t="shared" si="1"/>
        <v>119.40298507462686</v>
      </c>
      <c r="H44" s="315">
        <f t="shared" si="1"/>
        <v>94.58128078817734</v>
      </c>
      <c r="I44" s="315">
        <f t="shared" si="1"/>
        <v>90.86538461538461</v>
      </c>
      <c r="J44" s="315">
        <f t="shared" si="1"/>
        <v>39.88467874794069</v>
      </c>
      <c r="K44" s="315">
        <f t="shared" si="1"/>
        <v>38.808510638297875</v>
      </c>
    </row>
    <row r="46" ht="12.75">
      <c r="L46" s="377"/>
    </row>
    <row r="47" ht="12.75">
      <c r="D47" s="316"/>
    </row>
    <row r="48" spans="4:11" ht="12.75">
      <c r="D48" s="316"/>
      <c r="E48" s="316"/>
      <c r="F48" s="316"/>
      <c r="G48" s="316"/>
      <c r="H48" s="316"/>
      <c r="I48" s="316"/>
      <c r="J48" s="316"/>
      <c r="K48" s="316"/>
    </row>
  </sheetData>
  <sheetProtection/>
  <mergeCells count="4">
    <mergeCell ref="A6:A8"/>
    <mergeCell ref="B6:B8"/>
    <mergeCell ref="C6:C8"/>
    <mergeCell ref="D6:K7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26"/>
  </sheetPr>
  <dimension ref="A2:L40"/>
  <sheetViews>
    <sheetView view="pageBreakPreview" zoomScaleSheetLayoutView="100" zoomScalePageLayoutView="0" workbookViewId="0" topLeftCell="A1">
      <selection activeCell="A192" sqref="A192:T192"/>
    </sheetView>
  </sheetViews>
  <sheetFormatPr defaultColWidth="9.00390625" defaultRowHeight="12.75"/>
  <cols>
    <col min="1" max="1" width="31.375" style="0" customWidth="1"/>
    <col min="2" max="2" width="6.375" style="0" customWidth="1"/>
    <col min="3" max="3" width="10.00390625" style="0" customWidth="1"/>
    <col min="4" max="4" width="10.75390625" style="0" customWidth="1"/>
    <col min="5" max="5" width="11.00390625" style="0" customWidth="1"/>
    <col min="6" max="6" width="10.00390625" style="0" bestFit="1" customWidth="1"/>
    <col min="7" max="7" width="9.75390625" style="0" customWidth="1"/>
    <col min="8" max="8" width="10.00390625" style="0" bestFit="1" customWidth="1"/>
    <col min="9" max="9" width="10.75390625" style="0" customWidth="1"/>
  </cols>
  <sheetData>
    <row r="2" spans="1:8" ht="12.75">
      <c r="A2" s="1064" t="s">
        <v>103</v>
      </c>
      <c r="B2" s="1064"/>
      <c r="C2" s="1065"/>
      <c r="D2" s="1065"/>
      <c r="E2" s="1065"/>
      <c r="F2" s="1065"/>
      <c r="G2" s="1065"/>
      <c r="H2" s="1065"/>
    </row>
    <row r="3" spans="1:8" ht="12.75">
      <c r="A3" s="1064" t="s">
        <v>104</v>
      </c>
      <c r="B3" s="1064"/>
      <c r="C3" s="1065"/>
      <c r="D3" s="1065"/>
      <c r="E3" s="1065"/>
      <c r="F3" s="1065"/>
      <c r="G3" s="1065"/>
      <c r="H3" s="1065"/>
    </row>
    <row r="4" spans="1:8" ht="12.75">
      <c r="A4" s="1064"/>
      <c r="B4" s="1064"/>
      <c r="C4" s="1066"/>
      <c r="D4" s="1066"/>
      <c r="E4" s="1066"/>
      <c r="F4" s="1066"/>
      <c r="G4" s="1066"/>
      <c r="H4" s="1066"/>
    </row>
    <row r="5" spans="1:2" ht="12.75">
      <c r="A5" s="324"/>
      <c r="B5" s="324"/>
    </row>
    <row r="6" spans="1:9" ht="21.75" customHeight="1">
      <c r="A6" s="325"/>
      <c r="B6" s="326"/>
      <c r="C6" s="326" t="s">
        <v>105</v>
      </c>
      <c r="D6" s="327" t="s">
        <v>106</v>
      </c>
      <c r="E6" s="277" t="s">
        <v>107</v>
      </c>
      <c r="F6" s="277" t="s">
        <v>108</v>
      </c>
      <c r="G6" s="277" t="s">
        <v>109</v>
      </c>
      <c r="H6" s="277">
        <v>2013</v>
      </c>
      <c r="I6" s="277">
        <v>2014</v>
      </c>
    </row>
    <row r="7" spans="1:9" ht="15">
      <c r="A7" s="328" t="s">
        <v>110</v>
      </c>
      <c r="B7" s="329"/>
      <c r="C7" s="330">
        <v>80456.7</v>
      </c>
      <c r="D7" s="331">
        <v>95177.5</v>
      </c>
      <c r="E7" s="331">
        <f>14135</f>
        <v>14135</v>
      </c>
      <c r="F7" s="331"/>
      <c r="G7" s="331"/>
      <c r="H7" s="331"/>
      <c r="I7" s="331"/>
    </row>
    <row r="8" spans="1:9" ht="15">
      <c r="A8" s="328" t="s">
        <v>111</v>
      </c>
      <c r="B8" s="329"/>
      <c r="C8" s="330">
        <f>C7-27313.9</f>
        <v>53142.799999999996</v>
      </c>
      <c r="D8" s="331">
        <f>D7-25456.6</f>
        <v>69720.9</v>
      </c>
      <c r="E8" s="331">
        <f>D8*1.097</f>
        <v>76483.82729999999</v>
      </c>
      <c r="F8" s="331">
        <f>E8*1.098</f>
        <v>83979.24237539999</v>
      </c>
      <c r="G8" s="331">
        <f>F8*1.106</f>
        <v>92881.0420671924</v>
      </c>
      <c r="H8" s="331">
        <f>G8*1.08</f>
        <v>100311.5254325678</v>
      </c>
      <c r="I8" s="331">
        <f>H8*1.07</f>
        <v>107333.33221284754</v>
      </c>
    </row>
    <row r="9" spans="1:9" ht="20.25" customHeight="1">
      <c r="A9" s="328" t="s">
        <v>112</v>
      </c>
      <c r="B9" s="329"/>
      <c r="C9" s="330">
        <f>29229.1+389.1</f>
        <v>29618.199999999997</v>
      </c>
      <c r="D9" s="331">
        <f>15697.8+442.1</f>
        <v>16139.9</v>
      </c>
      <c r="E9" s="331">
        <f>10822+12829+500</f>
        <v>24151</v>
      </c>
      <c r="F9" s="331" t="e">
        <f>E9+#REF!/3*1000</f>
        <v>#REF!</v>
      </c>
      <c r="G9" s="331" t="e">
        <f>F9+#REF!/3*1000</f>
        <v>#REF!</v>
      </c>
      <c r="H9" s="331" t="e">
        <f>G9+(#REF!/3*1000)</f>
        <v>#REF!</v>
      </c>
      <c r="I9" s="331" t="e">
        <f>H9+(#REF!/3*1000)</f>
        <v>#REF!</v>
      </c>
    </row>
    <row r="10" spans="1:9" ht="25.5">
      <c r="A10" s="328" t="s">
        <v>113</v>
      </c>
      <c r="B10" s="329"/>
      <c r="C10" s="332">
        <v>50838.5</v>
      </c>
      <c r="D10" s="331">
        <v>79479.7</v>
      </c>
      <c r="E10" s="331">
        <f>E8-E9</f>
        <v>52332.82729999999</v>
      </c>
      <c r="F10" s="331" t="e">
        <f>F8-F9</f>
        <v>#REF!</v>
      </c>
      <c r="G10" s="331" t="e">
        <f>G8-G9</f>
        <v>#REF!</v>
      </c>
      <c r="H10" s="331" t="e">
        <f>H8-H9</f>
        <v>#REF!</v>
      </c>
      <c r="I10" s="331" t="e">
        <f>I8-I9</f>
        <v>#REF!</v>
      </c>
    </row>
    <row r="11" spans="1:9" ht="38.25">
      <c r="A11" s="328" t="s">
        <v>114</v>
      </c>
      <c r="B11" s="329"/>
      <c r="C11" s="333"/>
      <c r="D11" s="334"/>
      <c r="E11" s="331" t="e">
        <f>E9+#REF!/3*1000*0.5</f>
        <v>#REF!</v>
      </c>
      <c r="F11" s="331" t="e">
        <f>E11+#REF!/3*1000*0.5</f>
        <v>#REF!</v>
      </c>
      <c r="G11" s="331" t="e">
        <f>F11+#REF!/3*1000*0.5</f>
        <v>#REF!</v>
      </c>
      <c r="H11" s="331" t="e">
        <f>G11+#REF!/3*1000*0.5</f>
        <v>#REF!</v>
      </c>
      <c r="I11" s="331" t="e">
        <f>H11+#REF!/3*1000</f>
        <v>#REF!</v>
      </c>
    </row>
    <row r="12" spans="1:9" ht="25.5">
      <c r="A12" s="339" t="s">
        <v>115</v>
      </c>
      <c r="B12" s="340" t="s">
        <v>124</v>
      </c>
      <c r="C12" s="1071">
        <f>C10/C14*100</f>
        <v>62.61785844054268</v>
      </c>
      <c r="D12" s="1071">
        <f>D10/D14*100</f>
        <v>81.81704946923716</v>
      </c>
      <c r="E12" s="342">
        <f>E10/E15*100</f>
        <v>66.54716947172776</v>
      </c>
      <c r="F12" s="342" t="e">
        <f>F10/F15*100</f>
        <v>#REF!</v>
      </c>
      <c r="G12" s="342" t="e">
        <f>G10/G15*100</f>
        <v>#REF!</v>
      </c>
      <c r="H12" s="342" t="e">
        <f>H10/H15*100</f>
        <v>#REF!</v>
      </c>
      <c r="I12" s="342" t="e">
        <f>I10/I15*100</f>
        <v>#REF!</v>
      </c>
    </row>
    <row r="13" spans="1:9" ht="29.25" customHeight="1">
      <c r="A13" s="339" t="s">
        <v>116</v>
      </c>
      <c r="B13" s="340" t="s">
        <v>123</v>
      </c>
      <c r="C13" s="1072"/>
      <c r="D13" s="1072"/>
      <c r="E13" s="342" t="e">
        <f>(E8-E11)/E15*100</f>
        <v>#REF!</v>
      </c>
      <c r="F13" s="342" t="e">
        <f>(F8-F11)/F15*100</f>
        <v>#REF!</v>
      </c>
      <c r="G13" s="342" t="e">
        <f>(G8-G11)/G15*100</f>
        <v>#REF!</v>
      </c>
      <c r="H13" s="342" t="e">
        <f>(H8-H11)/H15*100</f>
        <v>#REF!</v>
      </c>
      <c r="I13" s="342" t="e">
        <f>(I8-I11)/I15*100</f>
        <v>#REF!</v>
      </c>
    </row>
    <row r="14" spans="1:9" ht="16.5" customHeight="1">
      <c r="A14" s="328" t="s">
        <v>117</v>
      </c>
      <c r="B14" s="329"/>
      <c r="C14" s="330">
        <v>81188.5</v>
      </c>
      <c r="D14" s="331">
        <v>97143.2</v>
      </c>
      <c r="E14" s="331"/>
      <c r="F14" s="331"/>
      <c r="G14" s="331"/>
      <c r="H14" s="331"/>
      <c r="I14" s="331"/>
    </row>
    <row r="15" spans="1:9" ht="16.5" customHeight="1">
      <c r="A15" s="328" t="s">
        <v>118</v>
      </c>
      <c r="B15" s="329"/>
      <c r="C15" s="335">
        <f>80456.7-27313.9</f>
        <v>53142.799999999996</v>
      </c>
      <c r="D15" s="331">
        <f>D14-25456.6</f>
        <v>71686.6</v>
      </c>
      <c r="E15" s="331">
        <f>D15*1.097</f>
        <v>78640.2002</v>
      </c>
      <c r="F15" s="331">
        <f>E15*1.098</f>
        <v>86346.93981960001</v>
      </c>
      <c r="G15" s="331">
        <f>F15*1.106</f>
        <v>95499.71544047762</v>
      </c>
      <c r="H15" s="331">
        <f>G15*1.08</f>
        <v>103139.69267571584</v>
      </c>
      <c r="I15" s="331">
        <f>H15*1.07</f>
        <v>110359.47116301596</v>
      </c>
    </row>
    <row r="16" spans="1:9" ht="24.75" customHeight="1">
      <c r="A16" s="336" t="s">
        <v>119</v>
      </c>
      <c r="B16" s="68"/>
      <c r="C16" s="29">
        <f aca="true" t="shared" si="0" ref="C16:I16">C7/C17*1000</f>
        <v>1884231.8501170957</v>
      </c>
      <c r="D16" s="26">
        <f t="shared" si="0"/>
        <v>2228981.2646370023</v>
      </c>
      <c r="E16" s="26">
        <f t="shared" si="0"/>
        <v>331592.8066920675</v>
      </c>
      <c r="F16" s="26">
        <f>F7/F17*1000</f>
        <v>0</v>
      </c>
      <c r="G16" s="26">
        <f t="shared" si="0"/>
        <v>0</v>
      </c>
      <c r="H16" s="26">
        <f t="shared" si="0"/>
        <v>0</v>
      </c>
      <c r="I16" s="26">
        <f t="shared" si="0"/>
        <v>0</v>
      </c>
    </row>
    <row r="17" spans="1:9" ht="17.25" customHeight="1" hidden="1">
      <c r="A17" s="337" t="s">
        <v>121</v>
      </c>
      <c r="B17" s="68"/>
      <c r="C17" s="246">
        <v>42.7</v>
      </c>
      <c r="D17" s="246">
        <v>42.7</v>
      </c>
      <c r="E17" s="248">
        <v>42.62758333333334</v>
      </c>
      <c r="F17" s="246">
        <v>42.65</v>
      </c>
      <c r="G17" s="246">
        <v>42.7</v>
      </c>
      <c r="H17" s="246">
        <v>42.8</v>
      </c>
      <c r="I17" s="246">
        <v>43</v>
      </c>
    </row>
    <row r="18" spans="2:9" ht="12.75" hidden="1">
      <c r="B18" s="246"/>
      <c r="C18" s="246"/>
      <c r="D18" s="246"/>
      <c r="E18" s="246"/>
      <c r="F18" s="246"/>
      <c r="G18" s="246"/>
      <c r="H18" s="246"/>
      <c r="I18" s="246"/>
    </row>
    <row r="19" spans="1:9" ht="21" customHeight="1">
      <c r="A19" s="1067" t="s">
        <v>122</v>
      </c>
      <c r="B19" s="340" t="s">
        <v>123</v>
      </c>
      <c r="C19" s="1069">
        <f>C9/15562*1000</f>
        <v>1903.2386582701452</v>
      </c>
      <c r="D19" s="1069">
        <f>D9/15562*1000</f>
        <v>1037.1353296491452</v>
      </c>
      <c r="E19" s="341" t="e">
        <f>E11/E35*1000</f>
        <v>#REF!</v>
      </c>
      <c r="F19" s="341" t="e">
        <f>F11/F35*1000</f>
        <v>#REF!</v>
      </c>
      <c r="G19" s="341" t="e">
        <f>G11/G35*1000</f>
        <v>#REF!</v>
      </c>
      <c r="H19" s="341" t="e">
        <f>H11/H35*1000</f>
        <v>#REF!</v>
      </c>
      <c r="I19" s="341" t="e">
        <f>I11/I35*1000</f>
        <v>#REF!</v>
      </c>
    </row>
    <row r="20" spans="1:9" ht="18.75" customHeight="1">
      <c r="A20" s="1068"/>
      <c r="B20" s="340" t="s">
        <v>124</v>
      </c>
      <c r="C20" s="1070"/>
      <c r="D20" s="1070"/>
      <c r="E20" s="341">
        <f>E9/E36*1000</f>
        <v>1588.9861175077306</v>
      </c>
      <c r="F20" s="341" t="e">
        <f>F9/F36*1000</f>
        <v>#REF!</v>
      </c>
      <c r="G20" s="341" t="e">
        <f>G9/G36*1000</f>
        <v>#REF!</v>
      </c>
      <c r="H20" s="341" t="e">
        <f>H9/H36*1000</f>
        <v>#REF!</v>
      </c>
      <c r="I20" s="341" t="e">
        <f>I9/I36*1000</f>
        <v>#REF!</v>
      </c>
    </row>
    <row r="26" spans="1:12" ht="12.75">
      <c r="A26" s="1066"/>
      <c r="B26" s="1066"/>
      <c r="C26" s="1066"/>
      <c r="D26" s="1066"/>
      <c r="E26" s="1066"/>
      <c r="K26" t="s">
        <v>125</v>
      </c>
      <c r="L26" t="s">
        <v>126</v>
      </c>
    </row>
    <row r="27" spans="11:12" ht="12.75">
      <c r="K27">
        <v>20422.526676632006</v>
      </c>
      <c r="L27">
        <v>15991.603923869334</v>
      </c>
    </row>
    <row r="28" spans="3:12" ht="12.75">
      <c r="C28" s="338"/>
      <c r="E28" s="338"/>
      <c r="K28">
        <v>26311.227657659412</v>
      </c>
      <c r="L28">
        <v>19209.26027288429</v>
      </c>
    </row>
    <row r="29" spans="3:12" ht="12.75">
      <c r="C29" s="338"/>
      <c r="E29" s="338"/>
      <c r="K29">
        <v>31301.125090393343</v>
      </c>
      <c r="L29">
        <v>21335.06579246517</v>
      </c>
    </row>
    <row r="30" spans="3:12" ht="12.75">
      <c r="C30" s="338"/>
      <c r="E30" s="338"/>
      <c r="K30">
        <v>40654.90261524812</v>
      </c>
      <c r="L30">
        <v>23482.841736731323</v>
      </c>
    </row>
    <row r="31" spans="3:12" ht="12.75">
      <c r="C31" s="338"/>
      <c r="E31" s="338"/>
      <c r="K31">
        <v>50713.00948419675</v>
      </c>
      <c r="L31">
        <v>25542.296124518405</v>
      </c>
    </row>
    <row r="32" spans="3:5" ht="12.75">
      <c r="C32" s="338"/>
      <c r="E32" s="338"/>
    </row>
    <row r="33" spans="1:5" ht="12.75">
      <c r="A33" s="1066"/>
      <c r="B33" s="1066"/>
      <c r="C33" s="1066"/>
      <c r="D33" s="1066"/>
      <c r="E33" s="1066"/>
    </row>
    <row r="35" spans="1:9" ht="54">
      <c r="A35" s="971" t="s">
        <v>735</v>
      </c>
      <c r="B35" s="279"/>
      <c r="C35" s="965" t="s">
        <v>736</v>
      </c>
      <c r="D35" s="195" t="s">
        <v>737</v>
      </c>
      <c r="E35" s="196">
        <f>ИНДИКАТОРЫ!F6</f>
        <v>15211</v>
      </c>
      <c r="F35" s="196">
        <f>ИНДИКАТОРЫ!G6</f>
        <v>15190</v>
      </c>
      <c r="G35" s="196">
        <f>ИНДИКАТОРЫ!H6</f>
        <v>15198</v>
      </c>
      <c r="H35" s="196">
        <f>ИНДИКАТОРЫ!I6</f>
        <v>15255</v>
      </c>
      <c r="I35" s="196">
        <f>ИНДИКАТОРЫ!J6</f>
        <v>15301</v>
      </c>
    </row>
    <row r="36" spans="1:9" ht="54">
      <c r="A36" s="972"/>
      <c r="B36" s="280"/>
      <c r="C36" s="965"/>
      <c r="D36" s="197" t="s">
        <v>738</v>
      </c>
      <c r="E36" s="196">
        <f>ИНДИКАТОРЫ!F7</f>
        <v>15199</v>
      </c>
      <c r="F36" s="196">
        <f>ИНДИКАТОРЫ!G7</f>
        <v>14949</v>
      </c>
      <c r="G36" s="196">
        <f>ИНДИКАТОРЫ!H7</f>
        <v>14699</v>
      </c>
      <c r="H36" s="196">
        <f>ИНДИКАТОРЫ!I7</f>
        <v>14449</v>
      </c>
      <c r="I36" s="196">
        <f>ИНДИКАТОРЫ!J7</f>
        <v>14199</v>
      </c>
    </row>
    <row r="37" spans="3:5" ht="12.75">
      <c r="C37" s="338"/>
      <c r="E37" s="338"/>
    </row>
    <row r="38" spans="3:5" ht="12.75">
      <c r="C38" s="338"/>
      <c r="E38" s="338"/>
    </row>
    <row r="39" spans="3:5" ht="54">
      <c r="C39" s="973" t="s">
        <v>58</v>
      </c>
      <c r="D39" s="1011" t="s">
        <v>751</v>
      </c>
      <c r="E39" s="195" t="s">
        <v>737</v>
      </c>
    </row>
    <row r="40" spans="3:5" ht="54">
      <c r="C40" s="973"/>
      <c r="D40" s="1011"/>
      <c r="E40" s="197" t="s">
        <v>738</v>
      </c>
    </row>
  </sheetData>
  <sheetProtection/>
  <mergeCells count="16">
    <mergeCell ref="C39:C40"/>
    <mergeCell ref="D39:D40"/>
    <mergeCell ref="A33:C33"/>
    <mergeCell ref="D33:E33"/>
    <mergeCell ref="A35:A36"/>
    <mergeCell ref="C35:C36"/>
    <mergeCell ref="A2:H2"/>
    <mergeCell ref="A3:H3"/>
    <mergeCell ref="A4:H4"/>
    <mergeCell ref="A26:C26"/>
    <mergeCell ref="D26:E26"/>
    <mergeCell ref="A19:A20"/>
    <mergeCell ref="C19:C20"/>
    <mergeCell ref="D19:D20"/>
    <mergeCell ref="C12:C13"/>
    <mergeCell ref="D12:D13"/>
  </mergeCells>
  <printOptions/>
  <pageMargins left="0.75" right="0.75" top="1" bottom="1" header="0.5" footer="0.5"/>
  <pageSetup horizontalDpi="600" verticalDpi="600" orientation="portrait" paperSize="9" scale="7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26"/>
  </sheetPr>
  <dimension ref="A1:H10"/>
  <sheetViews>
    <sheetView zoomScale="120" zoomScaleNormal="120" zoomScalePageLayoutView="0" workbookViewId="0" topLeftCell="B1">
      <selection activeCell="C5" sqref="C5"/>
    </sheetView>
  </sheetViews>
  <sheetFormatPr defaultColWidth="9.00390625" defaultRowHeight="12.75"/>
  <cols>
    <col min="1" max="1" width="16.00390625" style="0" customWidth="1"/>
    <col min="2" max="2" width="19.375" style="0" customWidth="1"/>
    <col min="3" max="3" width="20.00390625" style="0" customWidth="1"/>
    <col min="4" max="4" width="10.00390625" style="0" customWidth="1"/>
    <col min="5" max="5" width="8.625" style="0" customWidth="1"/>
    <col min="6" max="6" width="7.25390625" style="0" customWidth="1"/>
    <col min="7" max="7" width="10.25390625" style="0" customWidth="1"/>
    <col min="8" max="8" width="9.875" style="0" customWidth="1"/>
  </cols>
  <sheetData>
    <row r="1" spans="1:8" ht="35.25" customHeight="1">
      <c r="A1" s="926" t="s">
        <v>372</v>
      </c>
      <c r="B1" s="926" t="s">
        <v>771</v>
      </c>
      <c r="C1" s="926" t="s">
        <v>772</v>
      </c>
      <c r="D1" s="926" t="s">
        <v>769</v>
      </c>
      <c r="E1" s="1073" t="s">
        <v>770</v>
      </c>
      <c r="F1" s="1073"/>
      <c r="G1" s="926" t="s">
        <v>774</v>
      </c>
      <c r="H1" s="926"/>
    </row>
    <row r="2" spans="1:8" ht="24" customHeight="1">
      <c r="A2" s="926"/>
      <c r="B2" s="926"/>
      <c r="C2" s="926"/>
      <c r="D2" s="926"/>
      <c r="E2" s="250" t="s">
        <v>773</v>
      </c>
      <c r="F2" s="250" t="s">
        <v>743</v>
      </c>
      <c r="G2" s="131" t="s">
        <v>775</v>
      </c>
      <c r="H2" s="131" t="s">
        <v>776</v>
      </c>
    </row>
    <row r="3" spans="1:8" ht="12.75">
      <c r="A3" s="21">
        <v>2008</v>
      </c>
      <c r="B3" s="129"/>
      <c r="C3" s="129"/>
      <c r="D3" s="246">
        <v>99.7</v>
      </c>
      <c r="E3" s="246"/>
      <c r="F3" s="246"/>
      <c r="G3" s="249">
        <f>D3</f>
        <v>99.7</v>
      </c>
      <c r="H3" s="249">
        <f>D3</f>
        <v>99.7</v>
      </c>
    </row>
    <row r="4" spans="1:8" ht="12.75">
      <c r="A4" s="21">
        <v>2009</v>
      </c>
      <c r="B4" s="129"/>
      <c r="C4" s="129"/>
      <c r="D4" s="246">
        <v>88</v>
      </c>
      <c r="E4" s="246"/>
      <c r="F4" s="246"/>
      <c r="G4" s="249">
        <f>D4</f>
        <v>88</v>
      </c>
      <c r="H4" s="249">
        <f>D4</f>
        <v>88</v>
      </c>
    </row>
    <row r="5" spans="1:8" ht="12.75">
      <c r="A5" s="21">
        <v>2010</v>
      </c>
      <c r="B5" s="35" t="e">
        <f>#REF!</f>
        <v>#REF!</v>
      </c>
      <c r="C5" s="35" t="e">
        <f>#REF!+#REF!+#REF!+#REF!+#REF!+#REF!+#REF!+#REF!+#REF!+#REF!+#REF!+#REF!+#REF!+#REF!+#REF!+#REF!</f>
        <v>#REF!</v>
      </c>
      <c r="D5" s="247">
        <f>D4*E5%*F5%</f>
        <v>93.7739034604505</v>
      </c>
      <c r="E5" s="248">
        <v>101.97249180127284</v>
      </c>
      <c r="F5" s="248">
        <v>104.5</v>
      </c>
      <c r="G5" s="249" t="e">
        <f>D5+B5</f>
        <v>#REF!</v>
      </c>
      <c r="H5" s="249" t="e">
        <f>D5+C5</f>
        <v>#REF!</v>
      </c>
    </row>
    <row r="6" spans="1:8" ht="12.75">
      <c r="A6" s="21">
        <v>2011</v>
      </c>
      <c r="B6" s="35" t="e">
        <f>#REF!</f>
        <v>#REF!</v>
      </c>
      <c r="C6" s="35" t="e">
        <f>#REF!+#REF!+#REF!+#REF!+#REF!+#REF!+#REF!+#REF!+#REF!+#REF!+#REF!+#REF!+#REF!+#REF!+#REF!+#REF!</f>
        <v>#REF!</v>
      </c>
      <c r="D6" s="247">
        <f>D5*E6%*F6%</f>
        <v>98.41317829183018</v>
      </c>
      <c r="E6" s="248">
        <v>100.6206120865317</v>
      </c>
      <c r="F6" s="248">
        <v>104.3</v>
      </c>
      <c r="G6" s="249" t="e">
        <f>D6+B6</f>
        <v>#REF!</v>
      </c>
      <c r="H6" s="249" t="e">
        <f>D6+C6</f>
        <v>#REF!</v>
      </c>
    </row>
    <row r="7" spans="1:8" ht="12.75">
      <c r="A7" s="21">
        <v>2012</v>
      </c>
      <c r="B7" s="35" t="e">
        <f>#REF!</f>
        <v>#REF!</v>
      </c>
      <c r="C7" s="35" t="e">
        <f>#REF!+#REF!+#REF!+#REF!+#REF!+#REF!+#REF!+#REF!+#REF!+#REF!+#REF!+#REF!+#REF!+#REF!+#REF!+#REF!</f>
        <v>#REF!</v>
      </c>
      <c r="D7" s="247">
        <f>D6*E7%*F7%</f>
        <v>104.40059484905045</v>
      </c>
      <c r="E7" s="248">
        <v>101.22515088308322</v>
      </c>
      <c r="F7" s="248">
        <v>104.8</v>
      </c>
      <c r="G7" s="249" t="e">
        <f>D7+B7</f>
        <v>#REF!</v>
      </c>
      <c r="H7" s="249" t="e">
        <f>D7+C7</f>
        <v>#REF!</v>
      </c>
    </row>
    <row r="8" spans="1:8" ht="12.75">
      <c r="A8" s="21">
        <v>2013</v>
      </c>
      <c r="B8" s="35" t="e">
        <f>#REF!</f>
        <v>#REF!</v>
      </c>
      <c r="C8" s="35" t="e">
        <f>#REF!+#REF!+#REF!+#REF!+#REF!+#REF!+#REF!+#REF!+#REF!+#REF!+#REF!+#REF!+#REF!+#REF!+#REF!+#REF!</f>
        <v>#REF!</v>
      </c>
      <c r="D8" s="247">
        <f>D7*E8%*F8%</f>
        <v>110.77103933167288</v>
      </c>
      <c r="E8" s="248">
        <f>TREND(E5:E7)</f>
        <v>101.64642204939072</v>
      </c>
      <c r="F8" s="248">
        <f>TREND(F5:F7)</f>
        <v>104.38333333333334</v>
      </c>
      <c r="G8" s="249" t="e">
        <f>D8+B8</f>
        <v>#REF!</v>
      </c>
      <c r="H8" s="249" t="e">
        <f>D8+C8</f>
        <v>#REF!</v>
      </c>
    </row>
    <row r="9" spans="1:8" ht="12.75">
      <c r="A9" s="21">
        <v>2014</v>
      </c>
      <c r="B9" s="35" t="e">
        <f>#REF!</f>
        <v>#REF!</v>
      </c>
      <c r="C9" s="35" t="e">
        <f>#REF!+#REF!+#REF!+#REF!+#REF!+#REF!+#REF!+#REF!+#REF!+#REF!+#REF!+#REF!+#REF!+#REF!+125+#REF!</f>
        <v>#REF!</v>
      </c>
      <c r="D9" s="247">
        <f>D8*E9%</f>
        <v>112.34644695683997</v>
      </c>
      <c r="E9" s="248">
        <f>TREND(E5:E8)</f>
        <v>101.42221977393383</v>
      </c>
      <c r="F9" s="248">
        <f>TREND(F5:F8)</f>
        <v>104.47333333333333</v>
      </c>
      <c r="G9" s="249" t="e">
        <f>D9+B9</f>
        <v>#REF!</v>
      </c>
      <c r="H9" s="249" t="e">
        <f>D9+C9</f>
        <v>#REF!</v>
      </c>
    </row>
    <row r="10" spans="1:8" ht="12.75">
      <c r="A10" s="21" t="s">
        <v>378</v>
      </c>
      <c r="B10" s="35" t="e">
        <f>SUM(B5:B9)</f>
        <v>#REF!</v>
      </c>
      <c r="C10" s="35" t="e">
        <f>SUM(C5:C9)</f>
        <v>#REF!</v>
      </c>
      <c r="D10" s="247">
        <f>SUM(D3:D9)</f>
        <v>707.405162889844</v>
      </c>
      <c r="E10" s="248">
        <f>TREND(E5:E9)</f>
        <v>101.39232613720625</v>
      </c>
      <c r="F10" s="248">
        <f>TREND(F5:F9)</f>
        <v>104.48533333333334</v>
      </c>
      <c r="G10" s="249" t="e">
        <f>SUM(G3:G9)</f>
        <v>#REF!</v>
      </c>
      <c r="H10" s="249" t="e">
        <f>SUM(H3:H9)</f>
        <v>#REF!</v>
      </c>
    </row>
  </sheetData>
  <sheetProtection/>
  <mergeCells count="6">
    <mergeCell ref="C1:C2"/>
    <mergeCell ref="E1:F1"/>
    <mergeCell ref="G1:H1"/>
    <mergeCell ref="A1:A2"/>
    <mergeCell ref="B1:B2"/>
    <mergeCell ref="D1:D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26"/>
  </sheetPr>
  <dimension ref="A1:K62"/>
  <sheetViews>
    <sheetView view="pageBreakPreview" zoomScaleSheetLayoutView="100" zoomScalePageLayoutView="0" workbookViewId="0" topLeftCell="A1">
      <pane xSplit="1" ySplit="11" topLeftCell="B51" activePane="bottomRight" state="frozen"/>
      <selection pane="topLeft" activeCell="A192" sqref="A192:T192"/>
      <selection pane="topRight" activeCell="A192" sqref="A192:T192"/>
      <selection pane="bottomLeft" activeCell="A192" sqref="A192:T192"/>
      <selection pane="bottomRight" activeCell="A192" sqref="A192:T192"/>
    </sheetView>
  </sheetViews>
  <sheetFormatPr defaultColWidth="9.00390625" defaultRowHeight="12.75"/>
  <cols>
    <col min="1" max="1" width="11.125" style="138" customWidth="1"/>
    <col min="2" max="2" width="18.625" style="138" customWidth="1"/>
    <col min="3" max="3" width="7.75390625" style="138" customWidth="1"/>
    <col min="4" max="4" width="4.125" style="138" customWidth="1"/>
    <col min="5" max="5" width="16.25390625" style="138" customWidth="1"/>
    <col min="6" max="6" width="7.375" style="138" customWidth="1"/>
    <col min="7" max="7" width="2.00390625" style="147" customWidth="1"/>
    <col min="8" max="8" width="15.00390625" style="138" customWidth="1"/>
    <col min="9" max="9" width="12.00390625" style="138" customWidth="1"/>
    <col min="10" max="10" width="9.00390625" style="138" customWidth="1"/>
    <col min="11" max="11" width="8.75390625" style="138" customWidth="1"/>
    <col min="12" max="12" width="2.75390625" style="138" customWidth="1"/>
    <col min="13" max="13" width="6.375" style="138" customWidth="1"/>
    <col min="14" max="14" width="6.00390625" style="138" customWidth="1"/>
    <col min="15" max="16384" width="9.125" style="138" customWidth="1"/>
  </cols>
  <sheetData>
    <row r="1" spans="1:11" ht="58.5" customHeight="1">
      <c r="A1" s="21" t="s">
        <v>705</v>
      </c>
      <c r="B1" s="21" t="s">
        <v>709</v>
      </c>
      <c r="C1" s="21" t="s">
        <v>712</v>
      </c>
      <c r="E1" s="21" t="s">
        <v>711</v>
      </c>
      <c r="F1" s="21" t="s">
        <v>712</v>
      </c>
      <c r="G1" s="151"/>
      <c r="H1" s="21" t="s">
        <v>710</v>
      </c>
      <c r="I1" s="21" t="s">
        <v>708</v>
      </c>
      <c r="J1" s="239" t="s">
        <v>716</v>
      </c>
      <c r="K1" s="239" t="s">
        <v>717</v>
      </c>
    </row>
    <row r="2" spans="1:11" ht="12.75">
      <c r="A2" s="21">
        <v>2008</v>
      </c>
      <c r="B2" s="139">
        <f>H2</f>
        <v>2843.6</v>
      </c>
      <c r="C2" s="139"/>
      <c r="E2" s="144">
        <f>H2</f>
        <v>2843.6</v>
      </c>
      <c r="F2" s="180"/>
      <c r="G2" s="152"/>
      <c r="H2" s="155">
        <f>I54</f>
        <v>2843.6</v>
      </c>
      <c r="I2" s="156">
        <v>238</v>
      </c>
      <c r="J2" s="130"/>
      <c r="K2" s="130"/>
    </row>
    <row r="3" spans="1:11" ht="12.75">
      <c r="A3" s="21">
        <v>2009</v>
      </c>
      <c r="B3" s="139">
        <f>H3</f>
        <v>518.4</v>
      </c>
      <c r="C3" s="179">
        <f aca="true" t="shared" si="0" ref="C3:C8">B3/B2*100</f>
        <v>18.230412153608103</v>
      </c>
      <c r="E3" s="144">
        <f>H3</f>
        <v>518.4</v>
      </c>
      <c r="F3" s="179">
        <f aca="true" t="shared" si="1" ref="F3:F8">E3/E2*100</f>
        <v>18.230412153608103</v>
      </c>
      <c r="G3" s="153"/>
      <c r="H3" s="155">
        <f>J54</f>
        <v>518.4</v>
      </c>
      <c r="I3" s="156"/>
      <c r="J3" s="130"/>
      <c r="K3" s="130"/>
    </row>
    <row r="4" spans="1:11" ht="12.75">
      <c r="A4" s="21">
        <v>2010</v>
      </c>
      <c r="B4" s="139" t="e">
        <f>H4+B12</f>
        <v>#REF!</v>
      </c>
      <c r="C4" s="179" t="e">
        <f t="shared" si="0"/>
        <v>#REF!</v>
      </c>
      <c r="E4" s="148" t="e">
        <f>H4+E12</f>
        <v>#REF!</v>
      </c>
      <c r="F4" s="181" t="e">
        <f t="shared" si="1"/>
        <v>#REF!</v>
      </c>
      <c r="G4" s="153"/>
      <c r="H4" s="155">
        <f>(H3-106)*I4/100</f>
        <v>468.82807541126806</v>
      </c>
      <c r="I4" s="157">
        <v>113.68285048769837</v>
      </c>
      <c r="J4" s="173" t="e">
        <f>H4/B4*100</f>
        <v>#REF!</v>
      </c>
      <c r="K4" s="173" t="e">
        <f>H4/E4*100</f>
        <v>#REF!</v>
      </c>
    </row>
    <row r="5" spans="1:11" ht="12.75">
      <c r="A5" s="21">
        <v>2011</v>
      </c>
      <c r="B5" s="139" t="e">
        <f>H5+B13</f>
        <v>#REF!</v>
      </c>
      <c r="C5" s="179" t="e">
        <f t="shared" si="0"/>
        <v>#REF!</v>
      </c>
      <c r="E5" s="148" t="e">
        <f>H5+E13</f>
        <v>#REF!</v>
      </c>
      <c r="F5" s="179" t="e">
        <f t="shared" si="1"/>
        <v>#REF!</v>
      </c>
      <c r="G5" s="154"/>
      <c r="H5" s="158">
        <f>H4*I5/100</f>
        <v>502.7194424224778</v>
      </c>
      <c r="I5" s="157">
        <v>107.22895423476493</v>
      </c>
      <c r="J5" s="173" t="e">
        <f>H5/B5*100</f>
        <v>#REF!</v>
      </c>
      <c r="K5" s="173" t="e">
        <f>H5/E5*100</f>
        <v>#REF!</v>
      </c>
    </row>
    <row r="6" spans="1:11" ht="12.75">
      <c r="A6" s="21">
        <v>2012</v>
      </c>
      <c r="B6" s="139" t="e">
        <f>H6+B14</f>
        <v>#REF!</v>
      </c>
      <c r="C6" s="179" t="e">
        <f t="shared" si="0"/>
        <v>#REF!</v>
      </c>
      <c r="E6" s="148" t="e">
        <f>H6+E14</f>
        <v>#REF!</v>
      </c>
      <c r="F6" s="179" t="e">
        <f t="shared" si="1"/>
        <v>#REF!</v>
      </c>
      <c r="G6" s="154"/>
      <c r="H6" s="158">
        <f>H5*I6/100</f>
        <v>557.0912214296114</v>
      </c>
      <c r="I6" s="157">
        <v>110.81553137175871</v>
      </c>
      <c r="J6" s="173" t="e">
        <f>H6/B6*100</f>
        <v>#REF!</v>
      </c>
      <c r="K6" s="173" t="e">
        <f>H6/E6*100</f>
        <v>#REF!</v>
      </c>
    </row>
    <row r="7" spans="1:11" ht="12.75">
      <c r="A7" s="21">
        <v>2013</v>
      </c>
      <c r="B7" s="139" t="e">
        <f>H7+B15</f>
        <v>#REF!</v>
      </c>
      <c r="C7" s="179" t="e">
        <f t="shared" si="0"/>
        <v>#REF!</v>
      </c>
      <c r="E7" s="148" t="e">
        <f>H7+E15</f>
        <v>#REF!</v>
      </c>
      <c r="F7" s="179" t="e">
        <f t="shared" si="1"/>
        <v>#REF!</v>
      </c>
      <c r="G7" s="154"/>
      <c r="H7" s="158">
        <f>H6*I7/100</f>
        <v>662.2400131023439</v>
      </c>
      <c r="I7" s="157">
        <v>118.87460933290224</v>
      </c>
      <c r="J7" s="173" t="e">
        <f>H7/B7*100</f>
        <v>#REF!</v>
      </c>
      <c r="K7" s="173" t="e">
        <f>H7/E7*100</f>
        <v>#REF!</v>
      </c>
    </row>
    <row r="8" spans="1:11" ht="12.75">
      <c r="A8" s="21">
        <v>2014</v>
      </c>
      <c r="B8" s="139" t="e">
        <f>H8+B16</f>
        <v>#REF!</v>
      </c>
      <c r="C8" s="179" t="e">
        <f t="shared" si="0"/>
        <v>#REF!</v>
      </c>
      <c r="E8" s="148" t="e">
        <f>H8+E16</f>
        <v>#REF!</v>
      </c>
      <c r="F8" s="179" t="e">
        <f t="shared" si="1"/>
        <v>#REF!</v>
      </c>
      <c r="G8" s="154"/>
      <c r="H8" s="158">
        <f>H7*I8/100</f>
        <v>734.540595428738</v>
      </c>
      <c r="I8" s="157">
        <v>110.91757986469185</v>
      </c>
      <c r="J8" s="173" t="e">
        <f>H8/B8*100</f>
        <v>#REF!</v>
      </c>
      <c r="K8" s="173" t="e">
        <f>H8/E8*100</f>
        <v>#REF!</v>
      </c>
    </row>
    <row r="9" spans="1:6" ht="12.75">
      <c r="A9" s="21" t="s">
        <v>378</v>
      </c>
      <c r="B9" s="139" t="e">
        <f>SUM(B2:B8)</f>
        <v>#REF!</v>
      </c>
      <c r="C9" s="180"/>
      <c r="E9" s="144" t="e">
        <f>SUM(E2:E8)</f>
        <v>#REF!</v>
      </c>
      <c r="F9" s="182"/>
    </row>
    <row r="10" spans="1:8" s="142" customFormat="1" ht="12.75">
      <c r="A10" s="159"/>
      <c r="B10" s="160"/>
      <c r="C10" s="160"/>
      <c r="D10" s="147"/>
      <c r="E10" s="160"/>
      <c r="F10" s="161"/>
      <c r="G10" s="147"/>
      <c r="H10" s="147"/>
    </row>
    <row r="11" spans="1:9" ht="22.5" customHeight="1">
      <c r="A11" s="21" t="s">
        <v>705</v>
      </c>
      <c r="B11" s="135" t="s">
        <v>707</v>
      </c>
      <c r="C11" s="21" t="s">
        <v>706</v>
      </c>
      <c r="E11" s="135" t="s">
        <v>707</v>
      </c>
      <c r="F11" s="21" t="s">
        <v>706</v>
      </c>
      <c r="G11" s="149"/>
      <c r="I11" s="165"/>
    </row>
    <row r="12" spans="1:6" ht="12.75">
      <c r="A12" s="21">
        <v>2010</v>
      </c>
      <c r="B12" s="139" t="e">
        <f>B30+B37+B46+B53*0.7</f>
        <v>#REF!</v>
      </c>
      <c r="C12" s="166" t="e">
        <f>B12/B4*100</f>
        <v>#REF!</v>
      </c>
      <c r="D12" s="140"/>
      <c r="E12" s="139" t="e">
        <f aca="true" t="shared" si="2" ref="E12:E17">E21+E53</f>
        <v>#REF!</v>
      </c>
      <c r="F12" s="166" t="e">
        <f>E12/E4*100</f>
        <v>#REF!</v>
      </c>
    </row>
    <row r="13" spans="1:6" ht="12.75">
      <c r="A13" s="21">
        <v>2011</v>
      </c>
      <c r="B13" s="139" t="e">
        <f>B31+B38+B47+B54*0.7</f>
        <v>#REF!</v>
      </c>
      <c r="C13" s="166" t="e">
        <f>B13/B5*100</f>
        <v>#REF!</v>
      </c>
      <c r="E13" s="139" t="e">
        <f t="shared" si="2"/>
        <v>#REF!</v>
      </c>
      <c r="F13" s="166" t="e">
        <f>E13/E5*100</f>
        <v>#REF!</v>
      </c>
    </row>
    <row r="14" spans="1:6" ht="12.75">
      <c r="A14" s="21">
        <v>2012</v>
      </c>
      <c r="B14" s="139" t="e">
        <f>B32+B39+B48+B55*0.7</f>
        <v>#REF!</v>
      </c>
      <c r="C14" s="166" t="e">
        <f>B14/B6*100</f>
        <v>#REF!</v>
      </c>
      <c r="E14" s="139" t="e">
        <f t="shared" si="2"/>
        <v>#REF!</v>
      </c>
      <c r="F14" s="166" t="e">
        <f>E14/E6*100</f>
        <v>#REF!</v>
      </c>
    </row>
    <row r="15" spans="1:6" ht="12.75">
      <c r="A15" s="21">
        <v>2013</v>
      </c>
      <c r="B15" s="139" t="e">
        <f>B33+B40+B49+B56*0.7</f>
        <v>#REF!</v>
      </c>
      <c r="C15" s="166" t="e">
        <f>B15/B7*100</f>
        <v>#REF!</v>
      </c>
      <c r="E15" s="139" t="e">
        <f t="shared" si="2"/>
        <v>#REF!</v>
      </c>
      <c r="F15" s="166" t="e">
        <f>E15/E7*100</f>
        <v>#REF!</v>
      </c>
    </row>
    <row r="16" spans="1:6" ht="12.75">
      <c r="A16" s="21">
        <v>2014</v>
      </c>
      <c r="B16" s="139" t="e">
        <f>B34+B41+B50+B57*0.7</f>
        <v>#REF!</v>
      </c>
      <c r="C16" s="166" t="e">
        <f>B16/B8*100</f>
        <v>#REF!</v>
      </c>
      <c r="E16" s="139" t="e">
        <f t="shared" si="2"/>
        <v>#REF!</v>
      </c>
      <c r="F16" s="166" t="e">
        <f>E16/E8*100</f>
        <v>#REF!</v>
      </c>
    </row>
    <row r="17" spans="1:6" ht="12.75">
      <c r="A17" s="21" t="s">
        <v>378</v>
      </c>
      <c r="B17" s="139" t="e">
        <f>B35+B42+B51+B58</f>
        <v>#REF!</v>
      </c>
      <c r="C17" s="166"/>
      <c r="E17" s="139" t="e">
        <f t="shared" si="2"/>
        <v>#REF!</v>
      </c>
      <c r="F17" s="130"/>
    </row>
    <row r="18" spans="1:7" ht="21.75" customHeight="1" hidden="1">
      <c r="A18" s="21" t="s">
        <v>705</v>
      </c>
      <c r="B18" s="135" t="s">
        <v>701</v>
      </c>
      <c r="C18" s="21" t="s">
        <v>706</v>
      </c>
      <c r="E18" s="135" t="s">
        <v>701</v>
      </c>
      <c r="F18" s="21" t="s">
        <v>706</v>
      </c>
      <c r="G18" s="149"/>
    </row>
    <row r="19" spans="1:6" ht="12.75" hidden="1">
      <c r="A19" s="21">
        <v>2008</v>
      </c>
      <c r="B19" s="137"/>
      <c r="C19" s="129"/>
      <c r="D19" s="142"/>
      <c r="E19" s="130"/>
      <c r="F19" s="130"/>
    </row>
    <row r="20" spans="1:6" ht="12.75" hidden="1">
      <c r="A20" s="21">
        <v>2009</v>
      </c>
      <c r="B20" s="137"/>
      <c r="C20" s="129"/>
      <c r="D20" s="142"/>
      <c r="E20" s="130"/>
      <c r="F20" s="130"/>
    </row>
    <row r="21" spans="1:6" ht="12.75" hidden="1">
      <c r="A21" s="21">
        <v>2010</v>
      </c>
      <c r="B21" s="139" t="e">
        <f>#REF!</f>
        <v>#REF!</v>
      </c>
      <c r="C21" s="141"/>
      <c r="D21" s="143"/>
      <c r="E21" s="145" t="e">
        <f aca="true" t="shared" si="3" ref="E21:E26">E30+E37+E46</f>
        <v>#REF!</v>
      </c>
      <c r="F21" s="130"/>
    </row>
    <row r="22" spans="1:6" ht="12.75" hidden="1">
      <c r="A22" s="21">
        <v>2011</v>
      </c>
      <c r="B22" s="139" t="e">
        <f>#REF!</f>
        <v>#REF!</v>
      </c>
      <c r="C22" s="141"/>
      <c r="D22" s="142"/>
      <c r="E22" s="145" t="e">
        <f t="shared" si="3"/>
        <v>#REF!</v>
      </c>
      <c r="F22" s="130"/>
    </row>
    <row r="23" spans="1:6" ht="12.75" hidden="1">
      <c r="A23" s="21">
        <v>2012</v>
      </c>
      <c r="B23" s="144" t="e">
        <f>#REF!</f>
        <v>#REF!</v>
      </c>
      <c r="C23" s="130"/>
      <c r="E23" s="145" t="e">
        <f t="shared" si="3"/>
        <v>#REF!</v>
      </c>
      <c r="F23" s="130"/>
    </row>
    <row r="24" spans="1:6" ht="12.75" hidden="1">
      <c r="A24" s="21">
        <v>2013</v>
      </c>
      <c r="B24" s="144" t="e">
        <f>#REF!</f>
        <v>#REF!</v>
      </c>
      <c r="C24" s="130"/>
      <c r="E24" s="145" t="e">
        <f t="shared" si="3"/>
        <v>#REF!</v>
      </c>
      <c r="F24" s="130"/>
    </row>
    <row r="25" spans="1:6" ht="12.75" hidden="1">
      <c r="A25" s="21">
        <v>2014</v>
      </c>
      <c r="B25" s="144" t="e">
        <f>#REF!</f>
        <v>#REF!</v>
      </c>
      <c r="C25" s="130"/>
      <c r="E25" s="145" t="e">
        <f t="shared" si="3"/>
        <v>#REF!</v>
      </c>
      <c r="F25" s="130"/>
    </row>
    <row r="26" spans="1:6" ht="12.75" hidden="1">
      <c r="A26" s="21" t="s">
        <v>378</v>
      </c>
      <c r="B26" s="144" t="e">
        <f>#REF!</f>
        <v>#REF!</v>
      </c>
      <c r="C26" s="130"/>
      <c r="E26" s="145" t="e">
        <f t="shared" si="3"/>
        <v>#REF!</v>
      </c>
      <c r="F26" s="130"/>
    </row>
    <row r="27" spans="1:9" ht="38.25">
      <c r="A27" s="921" t="s">
        <v>702</v>
      </c>
      <c r="B27" s="921"/>
      <c r="C27" s="921"/>
      <c r="D27" s="163"/>
      <c r="E27" s="921" t="s">
        <v>702</v>
      </c>
      <c r="F27" s="921"/>
      <c r="G27" s="150"/>
      <c r="H27" s="162" t="s">
        <v>714</v>
      </c>
      <c r="I27" s="162" t="s">
        <v>715</v>
      </c>
    </row>
    <row r="28" spans="1:9" ht="12.75">
      <c r="A28" s="21">
        <v>2008</v>
      </c>
      <c r="B28" s="145">
        <v>2380</v>
      </c>
      <c r="C28" s="183">
        <f>B28/B$2*100</f>
        <v>83.69672246448164</v>
      </c>
      <c r="D28" s="163"/>
      <c r="E28" s="145">
        <v>2380</v>
      </c>
      <c r="F28" s="183">
        <f>E28/E$2*100</f>
        <v>83.69672246448164</v>
      </c>
      <c r="G28" s="150"/>
      <c r="H28" s="174"/>
      <c r="I28" s="174"/>
    </row>
    <row r="29" spans="1:9" ht="12.75">
      <c r="A29" s="21">
        <v>2009</v>
      </c>
      <c r="B29" s="145">
        <v>106</v>
      </c>
      <c r="C29" s="183">
        <f>B29/B$3*100</f>
        <v>20.44753086419753</v>
      </c>
      <c r="D29" s="163"/>
      <c r="E29" s="145">
        <v>106</v>
      </c>
      <c r="F29" s="183">
        <f>E29/E$3*100</f>
        <v>20.44753086419753</v>
      </c>
      <c r="G29" s="150"/>
      <c r="H29" s="174"/>
      <c r="I29" s="174"/>
    </row>
    <row r="30" spans="1:9" ht="12.75">
      <c r="A30" s="21">
        <v>2010</v>
      </c>
      <c r="B30" s="145" t="e">
        <f>#REF!</f>
        <v>#REF!</v>
      </c>
      <c r="C30" s="183" t="e">
        <f>B30/B$4*100</f>
        <v>#REF!</v>
      </c>
      <c r="E30" s="145" t="e">
        <f>B30</f>
        <v>#REF!</v>
      </c>
      <c r="F30" s="184" t="e">
        <f>E30/E$4*100</f>
        <v>#REF!</v>
      </c>
      <c r="H30" s="130"/>
      <c r="I30" s="130"/>
    </row>
    <row r="31" spans="1:9" ht="12.75">
      <c r="A31" s="21">
        <v>2011</v>
      </c>
      <c r="B31" s="145" t="e">
        <f>#REF!</f>
        <v>#REF!</v>
      </c>
      <c r="C31" s="183" t="e">
        <f>B31/B$5*100</f>
        <v>#REF!</v>
      </c>
      <c r="E31" s="145" t="e">
        <f>E30*I31/100</f>
        <v>#REF!</v>
      </c>
      <c r="F31" s="184" t="e">
        <f>E31/E$5*100</f>
        <v>#REF!</v>
      </c>
      <c r="H31" s="145">
        <v>104.8</v>
      </c>
      <c r="I31" s="130">
        <v>114</v>
      </c>
    </row>
    <row r="32" spans="1:9" ht="12.75" customHeight="1">
      <c r="A32" s="21">
        <v>2012</v>
      </c>
      <c r="B32" s="145" t="e">
        <f>#REF!</f>
        <v>#REF!</v>
      </c>
      <c r="C32" s="183" t="e">
        <f>B32/B$6*100</f>
        <v>#REF!</v>
      </c>
      <c r="E32" s="145" t="e">
        <f>E31*I32/100</f>
        <v>#REF!</v>
      </c>
      <c r="F32" s="184" t="e">
        <f>E32/E$6*100</f>
        <v>#REF!</v>
      </c>
      <c r="H32" s="145">
        <v>105.2</v>
      </c>
      <c r="I32" s="130">
        <v>116</v>
      </c>
    </row>
    <row r="33" spans="1:9" ht="12.75">
      <c r="A33" s="21">
        <v>2013</v>
      </c>
      <c r="B33" s="145" t="e">
        <f>#REF!</f>
        <v>#REF!</v>
      </c>
      <c r="C33" s="183" t="e">
        <f>B33/B$7*100</f>
        <v>#REF!</v>
      </c>
      <c r="E33" s="145" t="e">
        <f>E32*I33/100</f>
        <v>#REF!</v>
      </c>
      <c r="F33" s="184" t="e">
        <f>E33/E$7*100</f>
        <v>#REF!</v>
      </c>
      <c r="H33" s="145">
        <v>105</v>
      </c>
      <c r="I33" s="130">
        <v>120</v>
      </c>
    </row>
    <row r="34" spans="1:9" ht="12.75">
      <c r="A34" s="21">
        <v>2014</v>
      </c>
      <c r="B34" s="145" t="e">
        <f>(#REF!)</f>
        <v>#REF!</v>
      </c>
      <c r="C34" s="183" t="e">
        <f>B34/B$8*100</f>
        <v>#REF!</v>
      </c>
      <c r="E34" s="145" t="e">
        <f>E33*I34/100</f>
        <v>#REF!</v>
      </c>
      <c r="F34" s="184" t="e">
        <f>E34/E$8*100</f>
        <v>#REF!</v>
      </c>
      <c r="H34" s="145">
        <v>106</v>
      </c>
      <c r="I34" s="130">
        <v>125</v>
      </c>
    </row>
    <row r="35" spans="1:6" ht="14.25" customHeight="1" thickBot="1">
      <c r="A35" s="21" t="s">
        <v>378</v>
      </c>
      <c r="B35" s="145" t="e">
        <f>SUM(B30:B34)</f>
        <v>#REF!</v>
      </c>
      <c r="C35" s="145"/>
      <c r="E35" s="145" t="e">
        <f>B35</f>
        <v>#REF!</v>
      </c>
      <c r="F35" s="130"/>
    </row>
    <row r="36" spans="1:9" ht="46.5" customHeight="1">
      <c r="A36" s="921" t="s">
        <v>703</v>
      </c>
      <c r="B36" s="921"/>
      <c r="C36" s="921"/>
      <c r="D36" s="163"/>
      <c r="E36" s="921" t="s">
        <v>703</v>
      </c>
      <c r="F36" s="921"/>
      <c r="G36" s="150"/>
      <c r="H36" s="171" t="s">
        <v>718</v>
      </c>
      <c r="I36" s="172" t="s">
        <v>719</v>
      </c>
    </row>
    <row r="37" spans="1:9" ht="12.75">
      <c r="A37" s="21">
        <v>2010</v>
      </c>
      <c r="B37" s="145" t="e">
        <f>#REF!</f>
        <v>#REF!</v>
      </c>
      <c r="C37" s="145" t="e">
        <f>B37/B$4*100</f>
        <v>#REF!</v>
      </c>
      <c r="E37" s="145" t="e">
        <f>B37-#REF!</f>
        <v>#REF!</v>
      </c>
      <c r="F37" s="145" t="e">
        <f>E37/E$4*100</f>
        <v>#REF!</v>
      </c>
      <c r="H37" s="177" t="e">
        <f>J4+C12</f>
        <v>#REF!</v>
      </c>
      <c r="I37" s="178" t="e">
        <f>K4+F12</f>
        <v>#REF!</v>
      </c>
    </row>
    <row r="38" spans="1:9" ht="12.75">
      <c r="A38" s="21">
        <v>2011</v>
      </c>
      <c r="B38" s="145" t="e">
        <f>#REF!</f>
        <v>#REF!</v>
      </c>
      <c r="C38" s="145" t="e">
        <f>B38/B$5*100</f>
        <v>#REF!</v>
      </c>
      <c r="E38" s="145" t="e">
        <f>B38-#REF!</f>
        <v>#REF!</v>
      </c>
      <c r="F38" s="145" t="e">
        <f>E38/E$5*100</f>
        <v>#REF!</v>
      </c>
      <c r="H38" s="167" t="e">
        <f>J5+C13</f>
        <v>#REF!</v>
      </c>
      <c r="I38" s="168" t="e">
        <f>K5+F13</f>
        <v>#REF!</v>
      </c>
    </row>
    <row r="39" spans="1:9" ht="12.75">
      <c r="A39" s="21">
        <v>2012</v>
      </c>
      <c r="B39" s="145" t="e">
        <f>#REF!</f>
        <v>#REF!</v>
      </c>
      <c r="C39" s="145" t="e">
        <f>B39/B$6*100</f>
        <v>#REF!</v>
      </c>
      <c r="E39" s="145" t="e">
        <f>B39-#REF!</f>
        <v>#REF!</v>
      </c>
      <c r="F39" s="145" t="e">
        <f>E39/E$6*100</f>
        <v>#REF!</v>
      </c>
      <c r="H39" s="167" t="e">
        <f>J6+C14</f>
        <v>#REF!</v>
      </c>
      <c r="I39" s="168" t="e">
        <f>K6+F14</f>
        <v>#REF!</v>
      </c>
    </row>
    <row r="40" spans="1:9" ht="12.75">
      <c r="A40" s="21">
        <v>2013</v>
      </c>
      <c r="B40" s="145" t="e">
        <f>#REF!</f>
        <v>#REF!</v>
      </c>
      <c r="C40" s="145" t="e">
        <f>B40/B$7*100</f>
        <v>#REF!</v>
      </c>
      <c r="E40" s="145" t="e">
        <f>B40-#REF!</f>
        <v>#REF!</v>
      </c>
      <c r="F40" s="145" t="e">
        <f>E40/E$7*100</f>
        <v>#REF!</v>
      </c>
      <c r="H40" s="167" t="e">
        <f>J7+C15</f>
        <v>#REF!</v>
      </c>
      <c r="I40" s="168" t="e">
        <f>K7+F15</f>
        <v>#REF!</v>
      </c>
    </row>
    <row r="41" spans="1:9" ht="13.5" thickBot="1">
      <c r="A41" s="21">
        <v>2014</v>
      </c>
      <c r="B41" s="145" t="e">
        <f>#REF!</f>
        <v>#REF!</v>
      </c>
      <c r="C41" s="145" t="e">
        <f>B41/B$8*100</f>
        <v>#REF!</v>
      </c>
      <c r="E41" s="145" t="e">
        <f>B41-#REF!</f>
        <v>#REF!</v>
      </c>
      <c r="F41" s="145" t="e">
        <f>E41/E$8*100</f>
        <v>#REF!</v>
      </c>
      <c r="H41" s="169" t="e">
        <f>J8+C16</f>
        <v>#REF!</v>
      </c>
      <c r="I41" s="170" t="e">
        <f>K8+F16</f>
        <v>#REF!</v>
      </c>
    </row>
    <row r="42" spans="1:6" ht="12.75">
      <c r="A42" s="21" t="s">
        <v>378</v>
      </c>
      <c r="B42" s="145" t="e">
        <f>#REF!</f>
        <v>#REF!</v>
      </c>
      <c r="C42" s="145"/>
      <c r="E42" s="145" t="e">
        <f>B42</f>
        <v>#REF!</v>
      </c>
      <c r="F42" s="130"/>
    </row>
    <row r="43" spans="1:10" ht="34.5" customHeight="1">
      <c r="A43" s="921" t="s">
        <v>704</v>
      </c>
      <c r="B43" s="921"/>
      <c r="C43" s="921"/>
      <c r="D43" s="163"/>
      <c r="E43" s="921" t="s">
        <v>704</v>
      </c>
      <c r="F43" s="921"/>
      <c r="G43" s="150"/>
      <c r="H43" s="238" t="s">
        <v>756</v>
      </c>
      <c r="I43" s="238">
        <v>2008</v>
      </c>
      <c r="J43" s="238">
        <v>2009</v>
      </c>
    </row>
    <row r="44" spans="1:10" ht="12.75">
      <c r="A44" s="21">
        <v>2008</v>
      </c>
      <c r="B44" s="129"/>
      <c r="C44" s="129"/>
      <c r="D44" s="175"/>
      <c r="E44" s="176">
        <v>303.9</v>
      </c>
      <c r="F44" s="145">
        <f>E44/E2*100</f>
        <v>10.687157124771417</v>
      </c>
      <c r="G44" s="150"/>
      <c r="H44" s="235"/>
      <c r="I44" s="235"/>
      <c r="J44" s="235"/>
    </row>
    <row r="45" spans="1:10" ht="12.75">
      <c r="A45" s="21">
        <v>2009</v>
      </c>
      <c r="B45" s="129"/>
      <c r="C45" s="129"/>
      <c r="D45" s="175"/>
      <c r="E45" s="86">
        <v>265</v>
      </c>
      <c r="F45" s="145">
        <f>E45/E3*100</f>
        <v>51.11882716049383</v>
      </c>
      <c r="G45" s="150"/>
      <c r="H45" s="236" t="s">
        <v>757</v>
      </c>
      <c r="I45" s="236">
        <v>2380</v>
      </c>
      <c r="J45" s="236">
        <v>106</v>
      </c>
    </row>
    <row r="46" spans="1:10" ht="12.75">
      <c r="A46" s="21">
        <v>2010</v>
      </c>
      <c r="B46" s="145" t="e">
        <f>#REF!+H4</f>
        <v>#REF!</v>
      </c>
      <c r="C46" s="145" t="e">
        <f>(B46+$H4)/B$4*100</f>
        <v>#REF!</v>
      </c>
      <c r="E46" s="130"/>
      <c r="F46" s="145" t="e">
        <f>(E46+$H4)/E$4*100</f>
        <v>#REF!</v>
      </c>
      <c r="H46" s="236" t="s">
        <v>758</v>
      </c>
      <c r="I46" s="236">
        <v>20</v>
      </c>
      <c r="J46" s="236">
        <v>17</v>
      </c>
    </row>
    <row r="47" spans="1:10" ht="12.75" customHeight="1">
      <c r="A47" s="21">
        <v>2011</v>
      </c>
      <c r="B47" s="145" t="e">
        <f>#REF!+H5</f>
        <v>#REF!</v>
      </c>
      <c r="C47" s="145" t="e">
        <f>(B47+$H5)/B$5*100</f>
        <v>#REF!</v>
      </c>
      <c r="E47" s="130"/>
      <c r="F47" s="145" t="e">
        <f>(E47+$H5)/E$5*100</f>
        <v>#REF!</v>
      </c>
      <c r="H47" s="236" t="s">
        <v>759</v>
      </c>
      <c r="I47" s="236">
        <v>93.9</v>
      </c>
      <c r="J47" s="236">
        <v>110</v>
      </c>
    </row>
    <row r="48" spans="1:10" ht="12.75">
      <c r="A48" s="21">
        <v>2012</v>
      </c>
      <c r="B48" s="145" t="e">
        <f>#REF!+H6</f>
        <v>#REF!</v>
      </c>
      <c r="C48" s="145" t="e">
        <f>(B48+$H6)/B$6*100</f>
        <v>#REF!</v>
      </c>
      <c r="E48" s="130"/>
      <c r="F48" s="145" t="e">
        <f>(E48+$H6)/E$6*100</f>
        <v>#REF!</v>
      </c>
      <c r="H48" s="237" t="s">
        <v>760</v>
      </c>
      <c r="I48" s="236">
        <v>58</v>
      </c>
      <c r="J48" s="236">
        <v>45</v>
      </c>
    </row>
    <row r="49" spans="1:10" ht="12.75">
      <c r="A49" s="21">
        <v>2013</v>
      </c>
      <c r="B49" s="145" t="e">
        <f>#REF!+H7</f>
        <v>#REF!</v>
      </c>
      <c r="C49" s="146" t="e">
        <f>(B49+$H7)/B$7*100</f>
        <v>#REF!</v>
      </c>
      <c r="E49" s="130"/>
      <c r="F49" s="145" t="e">
        <f>(E49+$H7)/E$7*100</f>
        <v>#REF!</v>
      </c>
      <c r="H49" s="237" t="s">
        <v>761</v>
      </c>
      <c r="I49" s="236">
        <v>90</v>
      </c>
      <c r="J49" s="236">
        <v>50</v>
      </c>
    </row>
    <row r="50" spans="1:10" ht="12.75">
      <c r="A50" s="21">
        <v>2014</v>
      </c>
      <c r="B50" s="145" t="e">
        <f>#REF!+H8</f>
        <v>#REF!</v>
      </c>
      <c r="C50" s="146" t="e">
        <f>(B50+$H8)/B$8*100</f>
        <v>#REF!</v>
      </c>
      <c r="E50" s="130"/>
      <c r="F50" s="145" t="e">
        <f>(E50+$H8)/E$8*100</f>
        <v>#REF!</v>
      </c>
      <c r="H50" s="237" t="s">
        <v>762</v>
      </c>
      <c r="I50" s="236">
        <v>20</v>
      </c>
      <c r="J50" s="236">
        <v>15</v>
      </c>
    </row>
    <row r="51" spans="1:10" ht="25.5">
      <c r="A51" s="21" t="s">
        <v>378</v>
      </c>
      <c r="B51" s="145" t="e">
        <f>#REF!</f>
        <v>#REF!</v>
      </c>
      <c r="C51" s="145"/>
      <c r="E51" s="130"/>
      <c r="F51" s="130"/>
      <c r="H51" s="237" t="s">
        <v>763</v>
      </c>
      <c r="I51" s="236">
        <v>71.7</v>
      </c>
      <c r="J51" s="236">
        <v>65</v>
      </c>
    </row>
    <row r="52" spans="1:10" ht="21.75" customHeight="1">
      <c r="A52" s="1081" t="s">
        <v>713</v>
      </c>
      <c r="B52" s="1082"/>
      <c r="C52" s="1083"/>
      <c r="D52" s="164"/>
      <c r="E52" s="1074" t="s">
        <v>713</v>
      </c>
      <c r="F52" s="1074"/>
      <c r="G52" s="136"/>
      <c r="H52" s="237" t="s">
        <v>764</v>
      </c>
      <c r="I52" s="236">
        <v>10</v>
      </c>
      <c r="J52" s="236">
        <v>20.4</v>
      </c>
    </row>
    <row r="53" spans="1:10" ht="12.75">
      <c r="A53" s="21">
        <v>2010</v>
      </c>
      <c r="B53" s="144" t="e">
        <f>#REF!</f>
        <v>#REF!</v>
      </c>
      <c r="C53" s="146" t="e">
        <f>B53/B$4*100</f>
        <v>#REF!</v>
      </c>
      <c r="E53" s="145" t="e">
        <f>#REF!+#REF!+#REF!</f>
        <v>#REF!</v>
      </c>
      <c r="F53" s="146" t="e">
        <f>E53/E$4*100</f>
        <v>#REF!</v>
      </c>
      <c r="H53" s="237" t="s">
        <v>765</v>
      </c>
      <c r="I53" s="236">
        <v>100</v>
      </c>
      <c r="J53" s="236">
        <v>90</v>
      </c>
    </row>
    <row r="54" spans="1:10" ht="12.75">
      <c r="A54" s="21">
        <v>2011</v>
      </c>
      <c r="B54" s="144" t="e">
        <f>#REF!</f>
        <v>#REF!</v>
      </c>
      <c r="C54" s="146" t="e">
        <f>B54/B$5*100</f>
        <v>#REF!</v>
      </c>
      <c r="E54" s="145" t="e">
        <f>#REF!+#REF!+#REF!</f>
        <v>#REF!</v>
      </c>
      <c r="F54" s="146" t="e">
        <f>E54/E$5*100</f>
        <v>#REF!</v>
      </c>
      <c r="H54" s="1075" t="s">
        <v>766</v>
      </c>
      <c r="I54" s="1078">
        <f>SUM(I45:I53)</f>
        <v>2843.6</v>
      </c>
      <c r="J54" s="1078">
        <f>SUM(J45:J53)</f>
        <v>518.4</v>
      </c>
    </row>
    <row r="55" spans="1:10" ht="12.75">
      <c r="A55" s="21">
        <v>2012</v>
      </c>
      <c r="B55" s="144" t="e">
        <f>#REF!</f>
        <v>#REF!</v>
      </c>
      <c r="C55" s="146" t="e">
        <f>B55/B$6*100</f>
        <v>#REF!</v>
      </c>
      <c r="E55" s="145" t="e">
        <f>#REF!+#REF!+#REF!</f>
        <v>#REF!</v>
      </c>
      <c r="F55" s="146" t="e">
        <f>E55/E$6*100</f>
        <v>#REF!</v>
      </c>
      <c r="H55" s="1076"/>
      <c r="I55" s="1079"/>
      <c r="J55" s="1079"/>
    </row>
    <row r="56" spans="1:10" ht="12.75">
      <c r="A56" s="21">
        <v>2013</v>
      </c>
      <c r="B56" s="144" t="e">
        <f>#REF!</f>
        <v>#REF!</v>
      </c>
      <c r="C56" s="146" t="e">
        <f>B56/B$7*100</f>
        <v>#REF!</v>
      </c>
      <c r="E56" s="145" t="e">
        <f>#REF!+#REF!+#REF!</f>
        <v>#REF!</v>
      </c>
      <c r="F56" s="146" t="e">
        <f>E56/E$7*100</f>
        <v>#REF!</v>
      </c>
      <c r="H56" s="1076"/>
      <c r="I56" s="1079"/>
      <c r="J56" s="1079"/>
    </row>
    <row r="57" spans="1:10" ht="12.75">
      <c r="A57" s="21">
        <v>2014</v>
      </c>
      <c r="B57" s="144" t="e">
        <f>#REF!</f>
        <v>#REF!</v>
      </c>
      <c r="C57" s="146" t="e">
        <f>B57/B$8*100</f>
        <v>#REF!</v>
      </c>
      <c r="E57" s="145" t="e">
        <f>#REF!+#REF!+#REF!-#REF!</f>
        <v>#REF!</v>
      </c>
      <c r="F57" s="146" t="e">
        <f>E57/E$8*100</f>
        <v>#REF!</v>
      </c>
      <c r="H57" s="1077"/>
      <c r="I57" s="1080"/>
      <c r="J57" s="1080"/>
    </row>
    <row r="58" spans="1:6" ht="12.75">
      <c r="A58" s="21" t="s">
        <v>378</v>
      </c>
      <c r="B58" s="144" t="e">
        <f>#REF!</f>
        <v>#REF!</v>
      </c>
      <c r="C58" s="130"/>
      <c r="E58" s="145" t="e">
        <f>#REF!+#REF!+#REF!</f>
        <v>#REF!</v>
      </c>
      <c r="F58" s="130"/>
    </row>
    <row r="60" spans="1:6" ht="12.75">
      <c r="A60" s="1084"/>
      <c r="B60" s="1084"/>
      <c r="C60" s="1084"/>
      <c r="D60" s="1084"/>
      <c r="E60" s="1084"/>
      <c r="F60" s="1084"/>
    </row>
    <row r="62" ht="12.75">
      <c r="C62" s="140"/>
    </row>
    <row r="64" ht="12.75" customHeight="1"/>
    <row r="78" ht="12.75" customHeight="1"/>
    <row r="92" ht="12.75" customHeight="1"/>
    <row r="98" ht="12.75" customHeight="1"/>
    <row r="122" ht="12.75" customHeight="1"/>
    <row r="128" ht="12.75" customHeight="1"/>
    <row r="134" ht="12.75" customHeight="1"/>
    <row r="140" ht="12.75" customHeight="1"/>
    <row r="146" ht="12.75" customHeight="1"/>
    <row r="152" ht="12.75" customHeight="1"/>
    <row r="158" ht="12.75" customHeight="1"/>
    <row r="164" ht="12.75" customHeight="1"/>
    <row r="170" ht="12.75" customHeight="1"/>
    <row r="176" ht="12.75" customHeight="1"/>
    <row r="195" ht="12.75" customHeight="1"/>
    <row r="201" ht="12.75" customHeight="1"/>
    <row r="229" ht="12.75" customHeight="1"/>
    <row r="235" ht="12.75" customHeight="1"/>
    <row r="241" ht="12.75" customHeight="1"/>
    <row r="254" ht="12.75" customHeight="1"/>
    <row r="260" ht="12.75" customHeight="1"/>
    <row r="266" ht="12.75" customHeight="1"/>
    <row r="286" ht="12.75" customHeight="1"/>
    <row r="292" ht="12.75" customHeight="1"/>
    <row r="298" ht="12.75" customHeight="1"/>
    <row r="304" ht="12.75" customHeight="1"/>
    <row r="310" ht="12.75" customHeight="1"/>
    <row r="316" ht="12.75" customHeight="1"/>
    <row r="322" ht="12.75" customHeight="1"/>
    <row r="335" ht="12.75" customHeight="1"/>
    <row r="341" ht="12.75" customHeight="1"/>
    <row r="347" ht="12.75" customHeight="1"/>
    <row r="353" ht="12.75" customHeight="1"/>
    <row r="365" ht="12.75" customHeight="1"/>
    <row r="390" ht="12.75" customHeight="1"/>
    <row r="402" ht="12.75" customHeight="1"/>
    <row r="409" ht="12.75" customHeight="1"/>
    <row r="420" ht="12.75" customHeight="1"/>
    <row r="426" ht="12.75" customHeight="1"/>
    <row r="432" ht="12.75" customHeight="1"/>
    <row r="438" ht="12.75" customHeight="1"/>
    <row r="444" ht="12.75" customHeight="1"/>
    <row r="457" ht="12.75" customHeight="1"/>
    <row r="463" ht="12.75" customHeight="1"/>
    <row r="469" ht="12.75" customHeight="1"/>
    <row r="475" ht="12.75" customHeight="1"/>
    <row r="481" ht="12.75" customHeight="1"/>
    <row r="487" ht="12.75" customHeight="1"/>
    <row r="493" ht="12.75" customHeight="1"/>
    <row r="505" ht="12.75" customHeight="1"/>
  </sheetData>
  <sheetProtection/>
  <mergeCells count="12">
    <mergeCell ref="A60:F60"/>
    <mergeCell ref="A36:C36"/>
    <mergeCell ref="A43:C43"/>
    <mergeCell ref="E27:F27"/>
    <mergeCell ref="E36:F36"/>
    <mergeCell ref="E43:F43"/>
    <mergeCell ref="E52:F52"/>
    <mergeCell ref="H54:H57"/>
    <mergeCell ref="I54:I57"/>
    <mergeCell ref="J54:J57"/>
    <mergeCell ref="A27:C27"/>
    <mergeCell ref="A52:C52"/>
  </mergeCells>
  <printOptions/>
  <pageMargins left="0.22" right="0.22" top="0.17" bottom="0.23" header="0.17" footer="0.25"/>
  <pageSetup horizontalDpi="600" verticalDpi="600" orientation="portrait" paperSize="9" scale="90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26"/>
  </sheetPr>
  <dimension ref="A1:Z11"/>
  <sheetViews>
    <sheetView zoomScale="120" zoomScaleNormal="120" zoomScalePageLayoutView="0" workbookViewId="0" topLeftCell="A1">
      <pane xSplit="1" ySplit="2" topLeftCell="B3" activePane="bottomRight" state="frozen"/>
      <selection pane="topLeft" activeCell="B6" sqref="B6:B8"/>
      <selection pane="topRight" activeCell="B6" sqref="B6:B8"/>
      <selection pane="bottomLeft" activeCell="B6" sqref="B6:B8"/>
      <selection pane="bottomRight" activeCell="J14" sqref="J14"/>
    </sheetView>
  </sheetViews>
  <sheetFormatPr defaultColWidth="9.00390625" defaultRowHeight="12.75"/>
  <cols>
    <col min="1" max="1" width="8.875" style="0" customWidth="1"/>
    <col min="2" max="2" width="8.25390625" style="0" customWidth="1"/>
    <col min="3" max="3" width="7.625" style="0" customWidth="1"/>
    <col min="4" max="4" width="8.875" style="0" customWidth="1"/>
    <col min="5" max="5" width="7.375" style="0" customWidth="1"/>
    <col min="6" max="6" width="7.125" style="0" customWidth="1"/>
    <col min="7" max="7" width="7.375" style="0" customWidth="1"/>
    <col min="8" max="8" width="6.75390625" style="0" customWidth="1"/>
    <col min="9" max="9" width="7.125" style="0" customWidth="1"/>
    <col min="10" max="10" width="7.875" style="0" customWidth="1"/>
    <col min="11" max="11" width="8.625" style="0" customWidth="1"/>
    <col min="12" max="12" width="9.25390625" style="0" customWidth="1"/>
    <col min="13" max="13" width="9.375" style="0" customWidth="1"/>
    <col min="14" max="14" width="8.625" style="0" customWidth="1"/>
    <col min="15" max="15" width="9.00390625" style="0" customWidth="1"/>
    <col min="16" max="16" width="8.875" style="0" customWidth="1"/>
    <col min="25" max="25" width="7.75390625" style="0" customWidth="1"/>
    <col min="26" max="26" width="8.75390625" style="0" customWidth="1"/>
  </cols>
  <sheetData>
    <row r="1" spans="1:26" ht="45.75" customHeight="1">
      <c r="A1" s="921" t="s">
        <v>372</v>
      </c>
      <c r="B1" s="1087" t="s">
        <v>35</v>
      </c>
      <c r="C1" s="1088"/>
      <c r="D1" s="1089"/>
      <c r="E1" s="1085" t="s">
        <v>777</v>
      </c>
      <c r="F1" s="1086"/>
      <c r="G1" s="1092" t="s">
        <v>31</v>
      </c>
      <c r="H1" s="1092"/>
      <c r="I1" s="1085" t="s">
        <v>41</v>
      </c>
      <c r="J1" s="1086"/>
      <c r="K1" s="1085" t="s">
        <v>778</v>
      </c>
      <c r="L1" s="1086"/>
      <c r="M1" s="1092" t="s">
        <v>779</v>
      </c>
      <c r="N1" s="1092"/>
      <c r="O1" s="1085" t="s">
        <v>34</v>
      </c>
      <c r="P1" s="1086"/>
      <c r="Q1" s="1092" t="s">
        <v>32</v>
      </c>
      <c r="R1" s="1092"/>
      <c r="S1" s="1092" t="s">
        <v>33</v>
      </c>
      <c r="T1" s="1092"/>
      <c r="U1" s="1092" t="s">
        <v>36</v>
      </c>
      <c r="V1" s="1092"/>
      <c r="W1" s="1092" t="s">
        <v>37</v>
      </c>
      <c r="X1" s="1092"/>
      <c r="Y1" s="1092" t="s">
        <v>38</v>
      </c>
      <c r="Z1" s="1092"/>
    </row>
    <row r="2" spans="1:26" ht="21.75" customHeight="1" thickBot="1">
      <c r="A2" s="921"/>
      <c r="B2" s="255" t="s">
        <v>775</v>
      </c>
      <c r="C2" s="278" t="s">
        <v>61</v>
      </c>
      <c r="D2" s="255" t="s">
        <v>776</v>
      </c>
      <c r="E2" s="255" t="s">
        <v>775</v>
      </c>
      <c r="F2" s="255" t="s">
        <v>776</v>
      </c>
      <c r="G2" s="255" t="s">
        <v>775</v>
      </c>
      <c r="H2" s="255" t="s">
        <v>776</v>
      </c>
      <c r="I2" s="255" t="s">
        <v>775</v>
      </c>
      <c r="J2" s="255" t="s">
        <v>776</v>
      </c>
      <c r="K2" s="255" t="s">
        <v>775</v>
      </c>
      <c r="L2" s="270" t="s">
        <v>776</v>
      </c>
      <c r="M2" s="255" t="s">
        <v>775</v>
      </c>
      <c r="N2" s="255" t="s">
        <v>776</v>
      </c>
      <c r="O2" s="255" t="s">
        <v>775</v>
      </c>
      <c r="P2" s="255" t="s">
        <v>776</v>
      </c>
      <c r="Q2" s="260" t="s">
        <v>775</v>
      </c>
      <c r="R2" s="260" t="s">
        <v>776</v>
      </c>
      <c r="S2" s="260" t="s">
        <v>775</v>
      </c>
      <c r="T2" s="260" t="s">
        <v>776</v>
      </c>
      <c r="U2" s="260" t="s">
        <v>775</v>
      </c>
      <c r="V2" s="260" t="s">
        <v>776</v>
      </c>
      <c r="W2" s="260" t="s">
        <v>775</v>
      </c>
      <c r="X2" s="260" t="s">
        <v>776</v>
      </c>
      <c r="Y2" s="260" t="s">
        <v>775</v>
      </c>
      <c r="Z2" s="260" t="s">
        <v>776</v>
      </c>
    </row>
    <row r="3" spans="1:26" ht="12.75">
      <c r="A3" s="251">
        <v>2008</v>
      </c>
      <c r="B3" s="132"/>
      <c r="C3" s="253"/>
      <c r="D3" s="132"/>
      <c r="E3" s="1093">
        <v>9320</v>
      </c>
      <c r="F3" s="1094"/>
      <c r="G3" s="1090">
        <f>O3+(G4-O4)</f>
        <v>4116</v>
      </c>
      <c r="H3" s="1091"/>
      <c r="I3" s="1093">
        <f aca="true" t="shared" si="0" ref="I3:I9">E3-G3</f>
        <v>5204</v>
      </c>
      <c r="J3" s="1091"/>
      <c r="K3" s="262">
        <v>299</v>
      </c>
      <c r="L3" s="272">
        <f>K3/I3*100</f>
        <v>5.7455803228285935</v>
      </c>
      <c r="M3" s="1101">
        <v>2.8</v>
      </c>
      <c r="N3" s="1102"/>
      <c r="O3" s="1090">
        <v>4080</v>
      </c>
      <c r="P3" s="1091"/>
      <c r="Q3" s="1098">
        <f>O3*U3/100</f>
        <v>1085.28</v>
      </c>
      <c r="R3" s="1098"/>
      <c r="S3" s="259"/>
      <c r="T3" s="132"/>
      <c r="U3" s="246">
        <v>26.6</v>
      </c>
      <c r="V3" s="246"/>
      <c r="W3" s="1095"/>
      <c r="X3" s="1096"/>
      <c r="Y3" s="1095"/>
      <c r="Z3" s="1096"/>
    </row>
    <row r="4" spans="1:26" ht="12" customHeight="1" thickBot="1">
      <c r="A4" s="251">
        <v>2009</v>
      </c>
      <c r="B4" s="132"/>
      <c r="C4" s="253"/>
      <c r="D4" s="132"/>
      <c r="E4" s="1093">
        <v>9150</v>
      </c>
      <c r="F4" s="1094"/>
      <c r="G4" s="1090">
        <v>2820</v>
      </c>
      <c r="H4" s="1091"/>
      <c r="I4" s="1093">
        <f t="shared" si="0"/>
        <v>6330</v>
      </c>
      <c r="J4" s="1091"/>
      <c r="K4" s="262">
        <v>886</v>
      </c>
      <c r="L4" s="273">
        <f>K4/I4*100</f>
        <v>13.996840442338074</v>
      </c>
      <c r="M4" s="1099">
        <v>15.6</v>
      </c>
      <c r="N4" s="1100"/>
      <c r="O4" s="1090">
        <v>2784</v>
      </c>
      <c r="P4" s="1091"/>
      <c r="Q4" s="1097">
        <v>1280</v>
      </c>
      <c r="R4" s="1097"/>
      <c r="S4" s="259"/>
      <c r="T4" s="132"/>
      <c r="U4" s="1099">
        <f aca="true" t="shared" si="1" ref="U4:U9">Q4/O4*100</f>
        <v>45.97701149425287</v>
      </c>
      <c r="V4" s="1100"/>
      <c r="W4" s="259">
        <v>15278</v>
      </c>
      <c r="X4" s="259">
        <v>15278</v>
      </c>
      <c r="Y4" s="1095"/>
      <c r="Z4" s="1096"/>
    </row>
    <row r="5" spans="1:26" ht="24.75" customHeight="1">
      <c r="A5" s="251">
        <v>2010</v>
      </c>
      <c r="B5" s="79" t="e">
        <f>C5*0.7</f>
        <v>#REF!</v>
      </c>
      <c r="C5" s="87" t="e">
        <f>#REF!-367</f>
        <v>#REF!</v>
      </c>
      <c r="D5" s="79" t="e">
        <f>#REF!+#REF!+#REF!+#REF!+#REF!+#REF!+#REF!+#REF!+#REF!+#REF!+#REF!+#REF!+#REF!+#REF!</f>
        <v>#REF!</v>
      </c>
      <c r="E5" s="378">
        <f>'Баланс ТР '!G7</f>
        <v>9109.873674564735</v>
      </c>
      <c r="F5" s="261">
        <f>E4*Z5/100</f>
        <v>9102.686870009165</v>
      </c>
      <c r="G5" s="378" t="e">
        <f>'Баланс ТР '!G8</f>
        <v>#REF!</v>
      </c>
      <c r="H5" s="261" t="e">
        <f>P5+(G4-O4)</f>
        <v>#REF!</v>
      </c>
      <c r="I5" s="261" t="e">
        <f>E5-G5</f>
        <v>#REF!</v>
      </c>
      <c r="J5" s="261" t="e">
        <f>F5-H5</f>
        <v>#REF!</v>
      </c>
      <c r="K5" s="261" t="e">
        <f>I5*$L$3%</f>
        <v>#REF!</v>
      </c>
      <c r="L5" s="271" t="e">
        <f>J5*5.7/100</f>
        <v>#REF!</v>
      </c>
      <c r="M5" s="265">
        <v>2.8</v>
      </c>
      <c r="N5" s="265" t="e">
        <f>L5/F5*100</f>
        <v>#REF!</v>
      </c>
      <c r="O5" s="261" t="e">
        <f>O4*98.9/100+B5*0.8</f>
        <v>#REF!</v>
      </c>
      <c r="P5" s="261" t="e">
        <f>O4*0.989+D5</f>
        <v>#REF!</v>
      </c>
      <c r="Q5" s="263" t="e">
        <f>Q4+S5</f>
        <v>#REF!</v>
      </c>
      <c r="R5" s="263" t="e">
        <f>Q4*0.9+T5</f>
        <v>#REF!</v>
      </c>
      <c r="S5" s="263" t="e">
        <f>#REF!+#REF!+#REF!+#REF!+#REF!+#REF!+#REF!+#REF!+#REF!+#REF!+#REF!+#REF!+#REF!+#REF!+#REF!+#REF!+#REF!+#REF!+#REF!+#REF!+#REF!+#REF!+#REF!+#REF!+#REF!</f>
        <v>#REF!</v>
      </c>
      <c r="T5" s="86" t="e">
        <f>#REF!+#REF!+#REF!+#REF!+#REF!+#REF!+#REF!+#REF!+#REF!+#REF!</f>
        <v>#REF!</v>
      </c>
      <c r="U5" s="265" t="e">
        <f t="shared" si="1"/>
        <v>#REF!</v>
      </c>
      <c r="V5" s="265" t="e">
        <f>R5/P5*100</f>
        <v>#REF!</v>
      </c>
      <c r="W5" s="246">
        <v>15211</v>
      </c>
      <c r="X5" s="246">
        <v>15199</v>
      </c>
      <c r="Y5" s="248">
        <f aca="true" t="shared" si="2" ref="Y5:Z9">W5/W4*100</f>
        <v>99.56146092420474</v>
      </c>
      <c r="Z5" s="248">
        <f t="shared" si="2"/>
        <v>99.48291661212201</v>
      </c>
    </row>
    <row r="6" spans="1:26" ht="24.75" customHeight="1">
      <c r="A6" s="251">
        <v>2011</v>
      </c>
      <c r="B6" s="79" t="e">
        <f>C6*0.3+C5*0.3</f>
        <v>#REF!</v>
      </c>
      <c r="C6" s="87" t="e">
        <f>#REF!-367</f>
        <v>#REF!</v>
      </c>
      <c r="D6" s="79" t="e">
        <f>#REF!+#REF!+#REF!+#REF!+#REF!+#REF!+#REF!+#REF!+#REF!+#REF!+#REF!+#REF!+#REF!+#REF!</f>
        <v>#REF!</v>
      </c>
      <c r="E6" s="378">
        <f>'Баланс ТР '!H7</f>
        <v>9097.296766592486</v>
      </c>
      <c r="F6" s="261">
        <f>E5*Z6/100</f>
        <v>8960.030367857637</v>
      </c>
      <c r="G6" s="378" t="e">
        <f>'Баланс ТР '!H8</f>
        <v>#REF!</v>
      </c>
      <c r="H6" s="261" t="e">
        <f>P6+(G5-O5)</f>
        <v>#REF!</v>
      </c>
      <c r="I6" s="261" t="e">
        <f t="shared" si="0"/>
        <v>#REF!</v>
      </c>
      <c r="J6" s="261" t="e">
        <f>F6-H6</f>
        <v>#REF!</v>
      </c>
      <c r="K6" s="261" t="e">
        <f>I6*$L$3%</f>
        <v>#REF!</v>
      </c>
      <c r="L6" s="271" t="e">
        <f>J6*5.7/100</f>
        <v>#REF!</v>
      </c>
      <c r="M6" s="265" t="e">
        <f>K6/E6*100</f>
        <v>#REF!</v>
      </c>
      <c r="N6" s="265" t="e">
        <f>L6/F6*100</f>
        <v>#REF!</v>
      </c>
      <c r="O6" s="261" t="e">
        <f>O5*98.9/100+B6*0.8</f>
        <v>#REF!</v>
      </c>
      <c r="P6" s="261" t="e">
        <f>P5*0.999+D6*0.8</f>
        <v>#REF!</v>
      </c>
      <c r="Q6" s="263" t="e">
        <f>Q5+S6</f>
        <v>#REF!</v>
      </c>
      <c r="R6" s="263" t="e">
        <f>R5*0.9+T6</f>
        <v>#REF!</v>
      </c>
      <c r="S6" s="263" t="e">
        <f>#REF!+#REF!+#REF!+#REF!+#REF!+#REF!+#REF!+#REF!+#REF!+#REF!+#REF!+#REF!+#REF!+#REF!+#REF!+#REF!+#REF!+#REF!+#REF!+#REF!+#REF!+#REF!+#REF!+#REF!+#REF!</f>
        <v>#REF!</v>
      </c>
      <c r="T6" s="86" t="e">
        <f>#REF!+#REF!+#REF!+#REF!+#REF!+#REF!+#REF!+#REF!+#REF!+#REF!</f>
        <v>#REF!</v>
      </c>
      <c r="U6" s="265" t="e">
        <f t="shared" si="1"/>
        <v>#REF!</v>
      </c>
      <c r="V6" s="265" t="e">
        <f>R6/P6*100</f>
        <v>#REF!</v>
      </c>
      <c r="W6" s="246">
        <v>15280</v>
      </c>
      <c r="X6" s="246">
        <v>14949</v>
      </c>
      <c r="Y6" s="248">
        <f t="shared" si="2"/>
        <v>100.453619091447</v>
      </c>
      <c r="Z6" s="248">
        <f t="shared" si="2"/>
        <v>98.35515494440423</v>
      </c>
    </row>
    <row r="7" spans="1:26" ht="24.75" customHeight="1">
      <c r="A7" s="251">
        <v>2012</v>
      </c>
      <c r="B7" s="79" t="e">
        <f>C7*0.7</f>
        <v>#REF!</v>
      </c>
      <c r="C7" s="87" t="e">
        <f>#REF!-367</f>
        <v>#REF!</v>
      </c>
      <c r="D7" s="79" t="e">
        <f>#REF!+#REF!+#REF!+#REF!+#REF!+#REF!+#REF!+#REF!+#REF!+#REF!+#REF!+#REF!+#REF!+#REF!</f>
        <v>#REF!</v>
      </c>
      <c r="E7" s="378">
        <f>'Баланс ТР '!I7</f>
        <v>9102.087969629532</v>
      </c>
      <c r="F7" s="261">
        <f>E6*Z7/100</f>
        <v>8945.157881606994</v>
      </c>
      <c r="G7" s="378" t="e">
        <f>'Баланс ТР '!I8</f>
        <v>#REF!</v>
      </c>
      <c r="H7" s="261" t="e">
        <f>P7+(G6-O6)</f>
        <v>#REF!</v>
      </c>
      <c r="I7" s="261" t="e">
        <f t="shared" si="0"/>
        <v>#REF!</v>
      </c>
      <c r="J7" s="261" t="e">
        <f>F7-H7</f>
        <v>#REF!</v>
      </c>
      <c r="K7" s="261" t="e">
        <f>I7*$L$3%</f>
        <v>#REF!</v>
      </c>
      <c r="L7" s="271" t="e">
        <f>J7*7/100</f>
        <v>#REF!</v>
      </c>
      <c r="M7" s="265" t="e">
        <f>K7/E7*100</f>
        <v>#REF!</v>
      </c>
      <c r="N7" s="265" t="e">
        <f>L7/F7*100</f>
        <v>#REF!</v>
      </c>
      <c r="O7" s="261" t="e">
        <f>O6*98.9/100+B7*0.8</f>
        <v>#REF!</v>
      </c>
      <c r="P7" s="261" t="e">
        <f>P6*0.99+D7*0.8</f>
        <v>#REF!</v>
      </c>
      <c r="Q7" s="263" t="e">
        <f>Q6+S7</f>
        <v>#REF!</v>
      </c>
      <c r="R7" s="263" t="e">
        <f>R6+T7</f>
        <v>#REF!</v>
      </c>
      <c r="S7" s="263" t="e">
        <f>#REF!+#REF!+#REF!+#REF!+#REF!+#REF!+#REF!+#REF!+#REF!+#REF!+#REF!+#REF!+#REF!+#REF!+#REF!+#REF!+#REF!+#REF!+#REF!+#REF!+#REF!+#REF!+#REF!+#REF!+#REF!</f>
        <v>#REF!</v>
      </c>
      <c r="T7" s="86" t="e">
        <f>#REF!+#REF!+#REF!+#REF!+#REF!+#REF!+#REF!+#REF!+#REF!+#REF!</f>
        <v>#REF!</v>
      </c>
      <c r="U7" s="265" t="e">
        <f t="shared" si="1"/>
        <v>#REF!</v>
      </c>
      <c r="V7" s="265" t="e">
        <f>R7/P7*100</f>
        <v>#REF!</v>
      </c>
      <c r="W7" s="246">
        <v>15350</v>
      </c>
      <c r="X7" s="246">
        <v>14699</v>
      </c>
      <c r="Y7" s="248">
        <f t="shared" si="2"/>
        <v>100.45811518324608</v>
      </c>
      <c r="Z7" s="248">
        <f t="shared" si="2"/>
        <v>98.32764733426986</v>
      </c>
    </row>
    <row r="8" spans="1:26" ht="24.75" customHeight="1">
      <c r="A8" s="251">
        <v>2013</v>
      </c>
      <c r="B8" s="79" t="e">
        <f>C8+C7*0.3</f>
        <v>#REF!</v>
      </c>
      <c r="C8" s="87" t="e">
        <f>#REF!-367</f>
        <v>#REF!</v>
      </c>
      <c r="D8" s="79" t="e">
        <f>#REF!+#REF!+#REF!+#REF!+#REF!+#REF!+#REF!+#REF!+#REF!+#REF!+#REF!+#REF!+#REF!+#REF!</f>
        <v>#REF!</v>
      </c>
      <c r="E8" s="378">
        <f>'Баланс ТР '!J7</f>
        <v>9136.22529126849</v>
      </c>
      <c r="F8" s="261">
        <f>E7*Z8/100</f>
        <v>8947.280024027288</v>
      </c>
      <c r="G8" s="378" t="e">
        <f>'Баланс ТР '!J8</f>
        <v>#REF!</v>
      </c>
      <c r="H8" s="261" t="e">
        <f>P8+(G7-O7)</f>
        <v>#REF!</v>
      </c>
      <c r="I8" s="261" t="e">
        <f t="shared" si="0"/>
        <v>#REF!</v>
      </c>
      <c r="J8" s="261" t="e">
        <f>F8-H8</f>
        <v>#REF!</v>
      </c>
      <c r="K8" s="261" t="e">
        <f>I8*$L$3%</f>
        <v>#REF!</v>
      </c>
      <c r="L8" s="271" t="e">
        <f>J8*9/100</f>
        <v>#REF!</v>
      </c>
      <c r="M8" s="265" t="e">
        <f>K8/E8*100</f>
        <v>#REF!</v>
      </c>
      <c r="N8" s="265" t="e">
        <f>L8/F8*100</f>
        <v>#REF!</v>
      </c>
      <c r="O8" s="261" t="e">
        <f>O7*98.9/100+B8</f>
        <v>#REF!</v>
      </c>
      <c r="P8" s="261" t="e">
        <f>P7*0.99+D8*0.8</f>
        <v>#REF!</v>
      </c>
      <c r="Q8" s="263" t="e">
        <f>Q7+S8</f>
        <v>#REF!</v>
      </c>
      <c r="R8" s="263" t="e">
        <f>R7+T8</f>
        <v>#REF!</v>
      </c>
      <c r="S8" s="263" t="e">
        <f>#REF!+#REF!+#REF!+#REF!+#REF!+#REF!+#REF!+#REF!+#REF!+#REF!+#REF!+#REF!+#REF!+#REF!+#REF!+#REF!+#REF!+#REF!+#REF!+#REF!+#REF!+#REF!+#REF!+#REF!+#REF!</f>
        <v>#REF!</v>
      </c>
      <c r="T8" s="86" t="e">
        <f>#REF!+#REF!+#REF!+#REF!+#REF!+#REF!+#REF!+#REF!+#REF!+#REF!</f>
        <v>#REF!</v>
      </c>
      <c r="U8" s="265" t="e">
        <f t="shared" si="1"/>
        <v>#REF!</v>
      </c>
      <c r="V8" s="265" t="e">
        <f>R8/P8*100</f>
        <v>#REF!</v>
      </c>
      <c r="W8" s="246">
        <v>15430</v>
      </c>
      <c r="X8" s="246">
        <v>14449</v>
      </c>
      <c r="Y8" s="248">
        <f t="shared" si="2"/>
        <v>100.52117263843647</v>
      </c>
      <c r="Z8" s="248">
        <f t="shared" si="2"/>
        <v>98.29920402748486</v>
      </c>
    </row>
    <row r="9" spans="1:26" ht="24.75" customHeight="1">
      <c r="A9" s="251">
        <v>2014</v>
      </c>
      <c r="B9" s="79" t="e">
        <f>C9+C6*0.7</f>
        <v>#REF!</v>
      </c>
      <c r="C9" s="87" t="e">
        <f>#REF!-367</f>
        <v>#REF!</v>
      </c>
      <c r="D9" s="79" t="e">
        <f>#REF!+#REF!+#REF!+#REF!+#REF!+#REF!+#REF!+#REF!+#REF!+#REF!+#REF!+#REF!+#REF!+#REF!-#REF!</f>
        <v>#REF!</v>
      </c>
      <c r="E9" s="378">
        <f>'Баланс ТР '!K7</f>
        <v>9163.77470873151</v>
      </c>
      <c r="F9" s="261">
        <f>E8*Z9/100</f>
        <v>8978.1481701655</v>
      </c>
      <c r="G9" s="378" t="e">
        <f>'Баланс ТР '!K8</f>
        <v>#REF!</v>
      </c>
      <c r="H9" s="261" t="e">
        <f>P9+(G8-O8)</f>
        <v>#REF!</v>
      </c>
      <c r="I9" s="261" t="e">
        <f t="shared" si="0"/>
        <v>#REF!</v>
      </c>
      <c r="J9" s="261" t="e">
        <f>F9-H9</f>
        <v>#REF!</v>
      </c>
      <c r="K9" s="261" t="e">
        <f>I9*$L$3%</f>
        <v>#REF!</v>
      </c>
      <c r="L9" s="271" t="e">
        <f>J9*9/100</f>
        <v>#REF!</v>
      </c>
      <c r="M9" s="265" t="e">
        <f>K9/E9*100</f>
        <v>#REF!</v>
      </c>
      <c r="N9" s="265" t="e">
        <f>L9/F9*100</f>
        <v>#REF!</v>
      </c>
      <c r="O9" s="261" t="e">
        <f>O8*99/100+B9-1200</f>
        <v>#REF!</v>
      </c>
      <c r="P9" s="261" t="e">
        <f>P8*0.99+D9*0.8</f>
        <v>#REF!</v>
      </c>
      <c r="Q9" s="263" t="e">
        <f>Q8+S9</f>
        <v>#REF!</v>
      </c>
      <c r="R9" s="263" t="e">
        <f>R8+T9</f>
        <v>#REF!</v>
      </c>
      <c r="S9" s="263" t="e">
        <f>#REF!+#REF!+#REF!+#REF!+#REF!+#REF!+#REF!+#REF!+#REF!+#REF!+#REF!+#REF!+#REF!+#REF!+#REF!+#REF!+#REF!+#REF!+#REF!+#REF!+#REF!+#REF!+#REF!+#REF!+#REF!</f>
        <v>#REF!</v>
      </c>
      <c r="T9" s="86" t="e">
        <f>#REF!+#REF!+#REF!+#REF!+#REF!+#REF!+#REF!+#REF!+#REF!+#REF!</f>
        <v>#REF!</v>
      </c>
      <c r="U9" s="265" t="e">
        <f t="shared" si="1"/>
        <v>#REF!</v>
      </c>
      <c r="V9" s="265" t="e">
        <f>R9/P9*100</f>
        <v>#REF!</v>
      </c>
      <c r="W9" s="246">
        <v>15560</v>
      </c>
      <c r="X9" s="246">
        <v>14199</v>
      </c>
      <c r="Y9" s="248">
        <f t="shared" si="2"/>
        <v>100.84251458198314</v>
      </c>
      <c r="Z9" s="248">
        <f t="shared" si="2"/>
        <v>98.26977645511799</v>
      </c>
    </row>
    <row r="10" spans="1:22" s="267" customFormat="1" ht="21.75" customHeight="1">
      <c r="A10" s="79" t="s">
        <v>378</v>
      </c>
      <c r="B10" s="79" t="e">
        <f>SUM(B5:B9)</f>
        <v>#REF!</v>
      </c>
      <c r="C10" s="79" t="e">
        <f>SUM(C5:C9)</f>
        <v>#REF!</v>
      </c>
      <c r="D10" s="79" t="e">
        <f>SUM(D5:D9)</f>
        <v>#REF!</v>
      </c>
      <c r="E10" s="264"/>
      <c r="F10" s="264"/>
      <c r="G10" s="264"/>
      <c r="H10" s="264"/>
      <c r="I10" s="264"/>
      <c r="J10" s="264"/>
      <c r="K10" s="264"/>
      <c r="L10" s="264"/>
      <c r="M10" s="265"/>
      <c r="N10" s="264"/>
      <c r="O10" s="264"/>
      <c r="P10" s="264"/>
      <c r="Q10" s="266"/>
      <c r="R10" s="266"/>
      <c r="S10" s="266" t="e">
        <f>SUM(S5:S9)</f>
        <v>#REF!</v>
      </c>
      <c r="T10" s="266" t="e">
        <f>SUM(T5:T9)</f>
        <v>#REF!</v>
      </c>
      <c r="U10" s="268"/>
      <c r="V10" s="268"/>
    </row>
    <row r="11" spans="2:3" ht="12.75">
      <c r="B11" s="252"/>
      <c r="C11" s="252"/>
    </row>
  </sheetData>
  <sheetProtection/>
  <mergeCells count="29">
    <mergeCell ref="U1:V1"/>
    <mergeCell ref="U4:V4"/>
    <mergeCell ref="M3:N3"/>
    <mergeCell ref="M1:N1"/>
    <mergeCell ref="Q1:R1"/>
    <mergeCell ref="O1:P1"/>
    <mergeCell ref="O4:P4"/>
    <mergeCell ref="O3:P3"/>
    <mergeCell ref="M4:N4"/>
    <mergeCell ref="Y1:Z1"/>
    <mergeCell ref="Y4:Z4"/>
    <mergeCell ref="W3:X3"/>
    <mergeCell ref="Y3:Z3"/>
    <mergeCell ref="I1:J1"/>
    <mergeCell ref="I4:J4"/>
    <mergeCell ref="S1:T1"/>
    <mergeCell ref="Q4:R4"/>
    <mergeCell ref="Q3:R3"/>
    <mergeCell ref="W1:X1"/>
    <mergeCell ref="K1:L1"/>
    <mergeCell ref="A1:A2"/>
    <mergeCell ref="B1:D1"/>
    <mergeCell ref="E1:F1"/>
    <mergeCell ref="G4:H4"/>
    <mergeCell ref="G1:H1"/>
    <mergeCell ref="E4:F4"/>
    <mergeCell ref="E3:F3"/>
    <mergeCell ref="G3:H3"/>
    <mergeCell ref="I3:J3"/>
  </mergeCells>
  <printOptions/>
  <pageMargins left="0.18" right="0.23" top="1" bottom="1" header="0.5" footer="0.5"/>
  <pageSetup horizontalDpi="600" verticalDpi="600" orientation="landscape" paperSize="9" scale="65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1"/>
  <sheetViews>
    <sheetView view="pageBreakPreview" zoomScale="75" zoomScaleNormal="75" zoomScaleSheetLayoutView="75" zoomScalePageLayoutView="0" workbookViewId="0" topLeftCell="B1">
      <selection activeCell="B2" sqref="B2"/>
    </sheetView>
  </sheetViews>
  <sheetFormatPr defaultColWidth="9.00390625" defaultRowHeight="12.75"/>
  <cols>
    <col min="1" max="1" width="3.875" style="484" hidden="1" customWidth="1"/>
    <col min="2" max="2" width="65.00390625" style="483" customWidth="1"/>
    <col min="3" max="3" width="7.75390625" style="485" customWidth="1"/>
    <col min="4" max="4" width="11.75390625" style="483" customWidth="1"/>
    <col min="5" max="5" width="12.75390625" style="483" customWidth="1"/>
    <col min="6" max="6" width="13.00390625" style="483" customWidth="1"/>
    <col min="7" max="7" width="12.375" style="497" customWidth="1"/>
    <col min="8" max="8" width="10.875" style="483" customWidth="1"/>
    <col min="9" max="9" width="12.375" style="483" customWidth="1"/>
    <col min="10" max="10" width="11.125" style="483" customWidth="1"/>
    <col min="11" max="11" width="10.625" style="483" customWidth="1"/>
    <col min="12" max="12" width="12.375" style="483" customWidth="1"/>
    <col min="13" max="13" width="11.125" style="483" customWidth="1"/>
    <col min="14" max="14" width="4.125" style="483" customWidth="1"/>
    <col min="15" max="16384" width="9.125" style="483" customWidth="1"/>
  </cols>
  <sheetData>
    <row r="1" spans="8:13" ht="21.75" customHeight="1">
      <c r="H1" s="855" t="s">
        <v>361</v>
      </c>
      <c r="I1" s="855"/>
      <c r="J1" s="855"/>
      <c r="K1" s="856"/>
      <c r="L1" s="856"/>
      <c r="M1" s="856"/>
    </row>
    <row r="2" spans="8:13" ht="38.25" customHeight="1">
      <c r="H2" s="855" t="s">
        <v>363</v>
      </c>
      <c r="I2" s="857"/>
      <c r="J2" s="857"/>
      <c r="K2" s="857"/>
      <c r="L2" s="857"/>
      <c r="M2" s="857"/>
    </row>
    <row r="3" spans="8:13" ht="15" customHeight="1">
      <c r="H3" s="858" t="s">
        <v>362</v>
      </c>
      <c r="I3" s="858"/>
      <c r="J3" s="858"/>
      <c r="K3" s="858"/>
      <c r="L3" s="858"/>
      <c r="M3" s="858"/>
    </row>
    <row r="4" spans="8:13" ht="15" customHeight="1">
      <c r="H4" s="858"/>
      <c r="I4" s="858"/>
      <c r="J4" s="858"/>
      <c r="K4" s="858"/>
      <c r="L4" s="858"/>
      <c r="M4" s="858"/>
    </row>
    <row r="5" spans="8:13" ht="15" customHeight="1">
      <c r="H5" s="858"/>
      <c r="I5" s="858"/>
      <c r="J5" s="858"/>
      <c r="K5" s="858"/>
      <c r="L5" s="858"/>
      <c r="M5" s="858"/>
    </row>
    <row r="6" spans="8:13" ht="17.25" customHeight="1">
      <c r="H6" s="858"/>
      <c r="I6" s="858"/>
      <c r="J6" s="858"/>
      <c r="K6" s="858"/>
      <c r="L6" s="858"/>
      <c r="M6" s="858"/>
    </row>
    <row r="7" spans="8:13" ht="17.25" customHeight="1">
      <c r="H7" s="858"/>
      <c r="I7" s="858"/>
      <c r="J7" s="858"/>
      <c r="K7" s="858"/>
      <c r="L7" s="858"/>
      <c r="M7" s="858"/>
    </row>
    <row r="8" spans="10:13" ht="14.25" customHeight="1">
      <c r="J8" s="496"/>
      <c r="K8" s="496"/>
      <c r="L8" s="496"/>
      <c r="M8" s="496"/>
    </row>
    <row r="9" spans="1:13" ht="38.25" customHeight="1">
      <c r="A9" s="861" t="s">
        <v>352</v>
      </c>
      <c r="B9" s="862"/>
      <c r="C9" s="862"/>
      <c r="D9" s="862"/>
      <c r="E9" s="862"/>
      <c r="F9" s="862"/>
      <c r="G9" s="862"/>
      <c r="H9" s="862"/>
      <c r="I9" s="862"/>
      <c r="J9" s="862"/>
      <c r="K9" s="862"/>
      <c r="L9" s="862"/>
      <c r="M9" s="862"/>
    </row>
    <row r="10" ht="12.75">
      <c r="B10" s="267"/>
    </row>
    <row r="11" spans="1:13" s="1" customFormat="1" ht="15.75">
      <c r="A11" s="863" t="s">
        <v>64</v>
      </c>
      <c r="B11" s="763" t="s">
        <v>722</v>
      </c>
      <c r="C11" s="742" t="s">
        <v>723</v>
      </c>
      <c r="D11" s="854" t="s">
        <v>217</v>
      </c>
      <c r="E11" s="854"/>
      <c r="F11" s="854"/>
      <c r="G11" s="854" t="s">
        <v>218</v>
      </c>
      <c r="H11" s="854"/>
      <c r="I11" s="854"/>
      <c r="J11" s="854"/>
      <c r="K11" s="854"/>
      <c r="L11" s="854"/>
      <c r="M11" s="854"/>
    </row>
    <row r="12" spans="1:13" s="1" customFormat="1" ht="33" customHeight="1">
      <c r="A12" s="864"/>
      <c r="B12" s="763"/>
      <c r="C12" s="742"/>
      <c r="D12" s="491">
        <v>2007</v>
      </c>
      <c r="E12" s="491">
        <v>2008</v>
      </c>
      <c r="F12" s="491">
        <v>2009</v>
      </c>
      <c r="G12" s="491">
        <v>2010</v>
      </c>
      <c r="H12" s="491">
        <v>2011</v>
      </c>
      <c r="I12" s="491">
        <v>2012</v>
      </c>
      <c r="J12" s="491">
        <v>2013</v>
      </c>
      <c r="K12" s="491">
        <v>2014</v>
      </c>
      <c r="L12" s="491">
        <v>2015</v>
      </c>
      <c r="M12" s="491">
        <v>2020</v>
      </c>
    </row>
    <row r="13" spans="1:13" ht="31.5">
      <c r="A13" s="459">
        <v>1</v>
      </c>
      <c r="B13" s="490" t="s">
        <v>353</v>
      </c>
      <c r="C13" s="489" t="s">
        <v>712</v>
      </c>
      <c r="D13" s="492">
        <f>'[2]Баланс ТР '!D11/'[2]Баланс ТР '!D7*100</f>
        <v>24.060307821170557</v>
      </c>
      <c r="E13" s="492">
        <f>'[2]Баланс ТР '!E11/'[2]Баланс ТР '!E7*100</f>
        <v>24.581545064377682</v>
      </c>
      <c r="F13" s="492">
        <f>'[2]Баланс ТР '!F11/'[2]Баланс ТР '!F7*100</f>
        <v>9.672131147540984</v>
      </c>
      <c r="G13" s="492">
        <f>'[2]Баланс ТР '!G11/'[2]Баланс ТР '!G7*100</f>
        <v>14.039711698429342</v>
      </c>
      <c r="H13" s="492">
        <f>'[2]Баланс ТР '!H11/'[2]Баланс ТР '!H7*100</f>
        <v>13.905229569352858</v>
      </c>
      <c r="I13" s="492">
        <f>'[2]Баланс ТР '!I11/'[2]Баланс ТР '!I7*100</f>
        <v>13.744099202008893</v>
      </c>
      <c r="J13" s="492">
        <f>'[2]Баланс ТР '!J11/'[2]Баланс ТР '!J7*100</f>
        <v>10.217567652279195</v>
      </c>
      <c r="K13" s="492">
        <f>'[2]Баланс ТР '!K11/'[2]Баланс ТР '!K7*100</f>
        <v>6.220144188582982</v>
      </c>
      <c r="L13" s="492">
        <f>550/9200*100</f>
        <v>5.978260869565218</v>
      </c>
      <c r="M13" s="492">
        <v>0</v>
      </c>
    </row>
    <row r="14" spans="1:13" ht="31.5">
      <c r="A14" s="459">
        <v>2</v>
      </c>
      <c r="B14" s="490" t="s">
        <v>354</v>
      </c>
      <c r="C14" s="489" t="s">
        <v>712</v>
      </c>
      <c r="D14" s="492">
        <f>898/9551*100</f>
        <v>9.402156842215474</v>
      </c>
      <c r="E14" s="492">
        <f>'[2]ИНДИКАТОРЫ'!L24/'[2]Баланс ТР '!E7*100</f>
        <v>11.644635193133048</v>
      </c>
      <c r="F14" s="492">
        <f>'[2]ИНДИКАТОРЫ'!M24/'[2]Баланс ТР '!F7*100</f>
        <v>13.989071038251366</v>
      </c>
      <c r="G14" s="492">
        <f>'[2]ИНДИКАТОРЫ'!F24/'[2]Баланс ТР '!G7*100</f>
        <v>20.089484575142684</v>
      </c>
      <c r="H14" s="492">
        <f>'[2]ИНДИКАТОРЫ'!G24/'[2]Баланс ТР '!H7*100</f>
        <v>24.129493881388267</v>
      </c>
      <c r="I14" s="492">
        <f>'[2]ИНДИКАТОРЫ'!H24/'[2]Баланс ТР '!I7*100</f>
        <v>29.373992819973676</v>
      </c>
      <c r="J14" s="492">
        <f>'[2]ИНДИКАТОРЫ'!I24/'[2]Баланс ТР '!J7*100</f>
        <v>30.81925605925735</v>
      </c>
      <c r="K14" s="492">
        <f>'[2]ИНДИКАТОРЫ'!J24/'[2]Баланс ТР '!K7*100</f>
        <v>32.56449183351589</v>
      </c>
      <c r="L14" s="492">
        <f>(2984+300)/9200*100</f>
        <v>35.69565217391305</v>
      </c>
      <c r="M14" s="492">
        <v>45</v>
      </c>
    </row>
    <row r="15" spans="1:13" ht="15.75" hidden="1">
      <c r="A15" s="459"/>
      <c r="B15" s="490"/>
      <c r="C15" s="489"/>
      <c r="D15" s="492">
        <f aca="true" t="shared" si="0" ref="D15:M15">100-D14-D13</f>
        <v>66.53753533661397</v>
      </c>
      <c r="E15" s="492">
        <f t="shared" si="0"/>
        <v>63.77381974248928</v>
      </c>
      <c r="F15" s="492">
        <f t="shared" si="0"/>
        <v>76.33879781420765</v>
      </c>
      <c r="G15" s="492">
        <f t="shared" si="0"/>
        <v>65.87080372642798</v>
      </c>
      <c r="H15" s="492">
        <f t="shared" si="0"/>
        <v>61.965276549258874</v>
      </c>
      <c r="I15" s="492">
        <f t="shared" si="0"/>
        <v>56.88190797801742</v>
      </c>
      <c r="J15" s="492">
        <f t="shared" si="0"/>
        <v>58.96317628846345</v>
      </c>
      <c r="K15" s="492">
        <f t="shared" si="0"/>
        <v>61.215363977901134</v>
      </c>
      <c r="L15" s="492">
        <f t="shared" si="0"/>
        <v>58.326086956521735</v>
      </c>
      <c r="M15" s="492">
        <f t="shared" si="0"/>
        <v>55</v>
      </c>
    </row>
    <row r="16" spans="1:13" ht="15.75">
      <c r="A16" s="459">
        <v>3</v>
      </c>
      <c r="B16" s="490" t="s">
        <v>355</v>
      </c>
      <c r="C16" s="489" t="s">
        <v>712</v>
      </c>
      <c r="D16" s="492">
        <v>2.8</v>
      </c>
      <c r="E16" s="492">
        <f>'[2]ИНДИКАТОРЫ'!L22</f>
        <v>5.21</v>
      </c>
      <c r="F16" s="492">
        <f>'[2]ИНДИКАТОРЫ'!M22</f>
        <v>15.6</v>
      </c>
      <c r="G16" s="492">
        <f>'[2]ИНДИКАТОРЫ'!F22</f>
        <v>2.6345041498225505</v>
      </c>
      <c r="H16" s="492">
        <f>'[2]ИНДИКАТОРЫ'!G22</f>
        <v>2.1105170571666</v>
      </c>
      <c r="I16" s="492">
        <f>'[2]ИНДИКАТОРЫ'!H22</f>
        <v>2.0764466420301204</v>
      </c>
      <c r="J16" s="492">
        <f>'[2]ИНДИКАТОРЫ'!I22</f>
        <v>2.6498908715766394</v>
      </c>
      <c r="K16" s="492">
        <f>'[2]ИНДИКАТОРЫ'!J22</f>
        <v>2.9856692105198315</v>
      </c>
      <c r="L16" s="492">
        <v>2.9</v>
      </c>
      <c r="M16" s="492">
        <v>2.1</v>
      </c>
    </row>
    <row r="17" spans="1:16" ht="47.25">
      <c r="A17" s="459">
        <v>4</v>
      </c>
      <c r="B17" s="490" t="s">
        <v>223</v>
      </c>
      <c r="C17" s="489" t="s">
        <v>47</v>
      </c>
      <c r="D17" s="493" t="s">
        <v>394</v>
      </c>
      <c r="E17" s="493" t="s">
        <v>394</v>
      </c>
      <c r="F17" s="493" t="s">
        <v>394</v>
      </c>
      <c r="G17" s="493">
        <v>487</v>
      </c>
      <c r="H17" s="493">
        <v>993</v>
      </c>
      <c r="I17" s="493">
        <v>1580</v>
      </c>
      <c r="J17" s="493">
        <v>1961</v>
      </c>
      <c r="K17" s="493">
        <v>2375</v>
      </c>
      <c r="L17" s="493">
        <f>K17+300</f>
        <v>2675</v>
      </c>
      <c r="M17" s="493">
        <f>L17+195*5</f>
        <v>3650</v>
      </c>
      <c r="P17" s="498">
        <f>H17+H18-G17-G18</f>
        <v>1127</v>
      </c>
    </row>
    <row r="18" spans="1:20" ht="36" customHeight="1">
      <c r="A18" s="459">
        <v>5</v>
      </c>
      <c r="B18" s="490" t="s">
        <v>224</v>
      </c>
      <c r="C18" s="489" t="s">
        <v>47</v>
      </c>
      <c r="D18" s="493" t="s">
        <v>394</v>
      </c>
      <c r="E18" s="493" t="s">
        <v>394</v>
      </c>
      <c r="F18" s="493" t="s">
        <v>394</v>
      </c>
      <c r="G18" s="493">
        <v>831</v>
      </c>
      <c r="H18" s="493">
        <v>1452</v>
      </c>
      <c r="I18" s="493">
        <v>2370</v>
      </c>
      <c r="J18" s="493">
        <v>2925</v>
      </c>
      <c r="K18" s="493">
        <v>3378</v>
      </c>
      <c r="L18" s="493">
        <f>K18+266</f>
        <v>3644</v>
      </c>
      <c r="M18" s="493">
        <f>L18+185*5</f>
        <v>4569</v>
      </c>
      <c r="O18" s="498"/>
      <c r="P18" s="498"/>
      <c r="Q18" s="498"/>
      <c r="R18" s="498"/>
      <c r="S18" s="498"/>
      <c r="T18" s="498"/>
    </row>
    <row r="19" spans="1:16" ht="31.5">
      <c r="A19" s="459">
        <v>6</v>
      </c>
      <c r="B19" s="490" t="s">
        <v>356</v>
      </c>
      <c r="C19" s="489" t="s">
        <v>751</v>
      </c>
      <c r="D19" s="493">
        <v>13092</v>
      </c>
      <c r="E19" s="493">
        <f>'[2]ИНДИКАТОРЫ'!L18</f>
        <v>16592</v>
      </c>
      <c r="F19" s="493">
        <f>'[2]ИНДИКАТОРЫ'!M18</f>
        <v>16344</v>
      </c>
      <c r="G19" s="493">
        <f>'[2]ИНДИКАТОРЫ'!F18</f>
        <v>17978.4</v>
      </c>
      <c r="H19" s="493">
        <f>'[2]ИНДИКАТОРЫ'!G18</f>
        <v>19776.24</v>
      </c>
      <c r="I19" s="493">
        <f>'[2]ИНДИКАТОРЫ'!H18</f>
        <v>21852.7452</v>
      </c>
      <c r="J19" s="493">
        <f>'[2]ИНДИКАТОРЫ'!I18</f>
        <v>24256.547172000002</v>
      </c>
      <c r="K19" s="493">
        <f>'[2]ИНДИКАТОРЫ'!J18</f>
        <v>27167.332832640004</v>
      </c>
      <c r="L19" s="493">
        <f>K19*1.08</f>
        <v>29340.719459251206</v>
      </c>
      <c r="M19" s="493">
        <f>L19*1.05*1.04*1.03*1.02*1.02</f>
        <v>34334.518830794485</v>
      </c>
      <c r="P19" s="498"/>
    </row>
    <row r="20" spans="1:13" ht="31.5">
      <c r="A20" s="459">
        <v>7</v>
      </c>
      <c r="B20" s="490" t="s">
        <v>357</v>
      </c>
      <c r="C20" s="489" t="s">
        <v>226</v>
      </c>
      <c r="D20" s="492">
        <f>('[3]Данные по городу'!$F$32-'[3]Градообр.организация'!$E$11)/1000+D21</f>
        <v>3750.906</v>
      </c>
      <c r="E20" s="492">
        <f>'[2]ИНДИКАТОРЫ'!L8</f>
        <v>2843.6</v>
      </c>
      <c r="F20" s="492">
        <f>'[2]ИНДИКАТОРЫ'!M8</f>
        <v>518.4</v>
      </c>
      <c r="G20" s="492">
        <f>'[2]ИНДИКАТОРЫ'!F8</f>
        <v>2989.41947489661</v>
      </c>
      <c r="H20" s="492">
        <f>'[2]ИНДИКАТОРЫ'!G8</f>
        <v>4486.026348548659</v>
      </c>
      <c r="I20" s="492">
        <f>'[2]ИНДИКАТОРЫ'!H8</f>
        <v>5977.821544962926</v>
      </c>
      <c r="J20" s="492">
        <f>'[2]ИНДИКАТОРЫ'!I8</f>
        <v>8400.785240228392</v>
      </c>
      <c r="K20" s="492">
        <f>'[2]ИНДИКАТОРЫ'!J8</f>
        <v>9688.855844561182</v>
      </c>
      <c r="L20" s="492">
        <f>K20*1.11</f>
        <v>10754.629987462913</v>
      </c>
      <c r="M20" s="492">
        <f>L20*1.1*1.09*1.08*1.08*1.07</f>
        <v>16093.331041465148</v>
      </c>
    </row>
    <row r="21" spans="1:13" ht="42" customHeight="1">
      <c r="A21" s="459">
        <v>9</v>
      </c>
      <c r="B21" s="490" t="s">
        <v>227</v>
      </c>
      <c r="C21" s="489" t="s">
        <v>226</v>
      </c>
      <c r="D21" s="492">
        <f>'[3]Градообр.организация'!$E$11/1000</f>
        <v>3498.572</v>
      </c>
      <c r="E21" s="492">
        <f>'[2]ИНДИКАТОРЫ'!L12%*'[2]ИНДИКАТОРЫ'!L8</f>
        <v>2380</v>
      </c>
      <c r="F21" s="492">
        <f>'[2]ИНДИКАТОРЫ'!M12%*'[2]ИНДИКАТОРЫ'!M8</f>
        <v>106</v>
      </c>
      <c r="G21" s="492">
        <f>'[2]ИНДИКАТОРЫ'!F12%*'[2]ИНДИКАТОРЫ'!F8</f>
        <v>1190.3999999999999</v>
      </c>
      <c r="H21" s="492">
        <f>'[2]ИНДИКАТОРЫ'!G12%*'[2]ИНДИКАТОРЫ'!G8</f>
        <v>1247.5392000000002</v>
      </c>
      <c r="I21" s="492">
        <f>'[2]ИНДИКАТОРЫ'!H12%*'[2]ИНДИКАТОРЫ'!H8</f>
        <v>1312.4112384000002</v>
      </c>
      <c r="J21" s="492">
        <f>'[2]ИНДИКАТОРЫ'!I12%*'[2]ИНДИКАТОРЫ'!I8</f>
        <v>1378.03180032</v>
      </c>
      <c r="K21" s="492">
        <f>'[2]ИНДИКАТОРЫ'!J12%*'[2]ИНДИКАТОРЫ'!J8</f>
        <v>570</v>
      </c>
      <c r="L21" s="492">
        <f>K21*0.8*1.1</f>
        <v>501.6</v>
      </c>
      <c r="M21" s="492">
        <v>0</v>
      </c>
    </row>
    <row r="22" spans="1:13" ht="47.25">
      <c r="A22" s="459">
        <v>10</v>
      </c>
      <c r="B22" s="490" t="s">
        <v>258</v>
      </c>
      <c r="C22" s="489" t="s">
        <v>712</v>
      </c>
      <c r="D22" s="492">
        <f>'[3]Градообр.организация'!$E$11/'[3]Данные по городу'!$F$32*100</f>
        <v>93.27271864450883</v>
      </c>
      <c r="E22" s="492">
        <f>'[2]ИНДИКАТОРЫ'!L12</f>
        <v>83.69672246448164</v>
      </c>
      <c r="F22" s="492">
        <f>'[2]ИНДИКАТОРЫ'!M12</f>
        <v>20.44753086419753</v>
      </c>
      <c r="G22" s="492">
        <v>39.8</v>
      </c>
      <c r="H22" s="492">
        <f>'[2]ИНДИКАТОРЫ'!G12</f>
        <v>27.809448787647224</v>
      </c>
      <c r="I22" s="492">
        <f>'[2]ИНДИКАТОРЫ'!H12</f>
        <v>21.95467409872537</v>
      </c>
      <c r="J22" s="492">
        <f>'[2]ИНДИКАТОРЫ'!I12</f>
        <v>16.403607054744036</v>
      </c>
      <c r="K22" s="492">
        <f>'[2]ИНДИКАТОРЫ'!J12</f>
        <v>5.883047587295545</v>
      </c>
      <c r="L22" s="492">
        <f>L21/(L21+L20)*100</f>
        <v>4.456198927693176</v>
      </c>
      <c r="M22" s="492">
        <v>0</v>
      </c>
    </row>
    <row r="23" spans="1:13" ht="31.5">
      <c r="A23" s="459">
        <v>11</v>
      </c>
      <c r="B23" s="490" t="s">
        <v>228</v>
      </c>
      <c r="C23" s="489" t="s">
        <v>712</v>
      </c>
      <c r="D23" s="492">
        <f>115/D21*100</f>
        <v>3.287055404319248</v>
      </c>
      <c r="E23" s="492">
        <f>120/E21*100</f>
        <v>5.042016806722689</v>
      </c>
      <c r="F23" s="492">
        <f>139/F20*100</f>
        <v>26.813271604938272</v>
      </c>
      <c r="G23" s="492">
        <v>29.8</v>
      </c>
      <c r="H23" s="492">
        <f>(140+'[2]ПЛАН - Байкальск'!W7)/'приложение 3.1'!H20*100</f>
        <v>30.18107396556867</v>
      </c>
      <c r="I23" s="492">
        <f>(250+'[2]ПЛАН - Байкальск'!W8)/'приложение 3.1'!I20*100</f>
        <v>31.341923914558578</v>
      </c>
      <c r="J23" s="492">
        <f>(250+'[2]ПЛАН - Байкальск'!W9)/'приложение 3.1'!J20*100</f>
        <v>41.46078190831532</v>
      </c>
      <c r="K23" s="492">
        <f>(450+'[2]ПЛАН - Байкальск'!W10)/'приложение 3.1'!K20*100</f>
        <v>42.83594011120318</v>
      </c>
      <c r="L23" s="492">
        <f>(500+'[2]ПЛАН - Байкальск'!W10*1.19)/'приложение 3.1'!L20*100</f>
        <v>45.59312468481131</v>
      </c>
      <c r="M23" s="492">
        <v>59</v>
      </c>
    </row>
    <row r="24" spans="1:13" ht="15.75" hidden="1">
      <c r="A24" s="459"/>
      <c r="B24" s="490"/>
      <c r="C24" s="489"/>
      <c r="D24" s="493">
        <f aca="true" t="shared" si="1" ref="D24:K24">100-D23-D22</f>
        <v>3.440225951171925</v>
      </c>
      <c r="E24" s="493">
        <f t="shared" si="1"/>
        <v>11.261260728795676</v>
      </c>
      <c r="F24" s="493">
        <f>100-F23-F22</f>
        <v>52.73919753086419</v>
      </c>
      <c r="G24" s="493">
        <f t="shared" si="1"/>
        <v>30.400000000000006</v>
      </c>
      <c r="H24" s="493">
        <f t="shared" si="1"/>
        <v>42.0094772467841</v>
      </c>
      <c r="I24" s="493">
        <f t="shared" si="1"/>
        <v>46.70340198671605</v>
      </c>
      <c r="J24" s="493">
        <f t="shared" si="1"/>
        <v>42.135611036940645</v>
      </c>
      <c r="K24" s="493">
        <f t="shared" si="1"/>
        <v>51.28101230150128</v>
      </c>
      <c r="L24" s="493"/>
      <c r="M24" s="492"/>
    </row>
    <row r="25" spans="1:13" ht="15.75">
      <c r="A25" s="459">
        <v>12</v>
      </c>
      <c r="B25" s="490" t="s">
        <v>358</v>
      </c>
      <c r="C25" s="489" t="s">
        <v>747</v>
      </c>
      <c r="D25" s="493">
        <v>187</v>
      </c>
      <c r="E25" s="493">
        <v>195</v>
      </c>
      <c r="F25" s="493">
        <v>205</v>
      </c>
      <c r="G25" s="493">
        <f>F25*0.95+15</f>
        <v>209.75</v>
      </c>
      <c r="H25" s="493">
        <f>G25*0.95+18</f>
        <v>217.2625</v>
      </c>
      <c r="I25" s="493">
        <f>H25*0.95+18</f>
        <v>224.399375</v>
      </c>
      <c r="J25" s="493">
        <f>I25*0.95+18</f>
        <v>231.17940624999997</v>
      </c>
      <c r="K25" s="493">
        <f>J25*0.95+18</f>
        <v>237.62043593749996</v>
      </c>
      <c r="L25" s="493">
        <f>K25*0.95+20</f>
        <v>245.73941414062494</v>
      </c>
      <c r="M25" s="493">
        <f>((((L25*0.95+20)*0.95+21)*0.95+18)*0.96+15)*0.95+21</f>
        <v>278.47203714132223</v>
      </c>
    </row>
    <row r="26" spans="1:13" ht="31.5">
      <c r="A26" s="459">
        <v>13</v>
      </c>
      <c r="B26" s="490" t="s">
        <v>232</v>
      </c>
      <c r="C26" s="489" t="s">
        <v>226</v>
      </c>
      <c r="D26" s="493" t="s">
        <v>394</v>
      </c>
      <c r="E26" s="493" t="s">
        <v>394</v>
      </c>
      <c r="F26" s="493" t="s">
        <v>394</v>
      </c>
      <c r="G26" s="493">
        <f>'[2]ПЛАН - Байкальск'!T6*0.33</f>
        <v>19.866000000000003</v>
      </c>
      <c r="H26" s="493">
        <f>'[2]ПЛАН - Байкальск'!T7*0.33</f>
        <v>21.087</v>
      </c>
      <c r="I26" s="493">
        <f>'[2]ПЛАН - Байкальск'!T8*0.33</f>
        <v>20.813100000000002</v>
      </c>
      <c r="J26" s="493">
        <f>'[2]ПЛАН - Байкальск'!T9*0.33+2</f>
        <v>24.1529</v>
      </c>
      <c r="K26" s="493">
        <f>'[2]ПЛАН - Байкальск'!T10*0.33+5</f>
        <v>25.1102</v>
      </c>
      <c r="L26" s="493">
        <v>32</v>
      </c>
      <c r="M26" s="493">
        <v>55</v>
      </c>
    </row>
    <row r="27" spans="1:13" ht="31.5">
      <c r="A27" s="459">
        <v>14</v>
      </c>
      <c r="B27" s="490" t="s">
        <v>231</v>
      </c>
      <c r="C27" s="489" t="s">
        <v>226</v>
      </c>
      <c r="D27" s="492">
        <f>('[3]Данные по городу'!$F$36/1000)-('[3]Параметры бюджета'!$C$39/1000)</f>
        <v>592.64</v>
      </c>
      <c r="E27" s="492">
        <f>('[3]Данные по городу'!$G$36/1000)-('[3]Параметры бюджета'!$D$39/1000)</f>
        <v>97.883</v>
      </c>
      <c r="F27" s="492">
        <v>0</v>
      </c>
      <c r="G27" s="492" t="e">
        <f>#REF!+#REF!+#REF!</f>
        <v>#REF!</v>
      </c>
      <c r="H27" s="492" t="e">
        <f>#REF!+#REF!+#REF!</f>
        <v>#REF!</v>
      </c>
      <c r="I27" s="492" t="e">
        <f>#REF!+#REF!+#REF!</f>
        <v>#REF!</v>
      </c>
      <c r="J27" s="492" t="e">
        <f>#REF!+#REF!+#REF!</f>
        <v>#REF!</v>
      </c>
      <c r="K27" s="492" t="e">
        <f>#REF!+#REF!+#REF!</f>
        <v>#REF!</v>
      </c>
      <c r="L27" s="492">
        <v>1225</v>
      </c>
      <c r="M27" s="492">
        <v>650</v>
      </c>
    </row>
    <row r="28" spans="1:14" ht="31.5">
      <c r="A28" s="459">
        <v>15</v>
      </c>
      <c r="B28" s="490" t="s">
        <v>359</v>
      </c>
      <c r="C28" s="489" t="s">
        <v>226</v>
      </c>
      <c r="D28" s="492">
        <f>('[3]Параметры бюджета'!$C$8+'[3]Параметры бюджета'!$C$23)/'[3]Параметры бюджета'!$C$7*100</f>
        <v>53.2159247002997</v>
      </c>
      <c r="E28" s="492">
        <f>100-'[2]ИНДИКАТОРЫ'!L26</f>
        <v>37.38214155945732</v>
      </c>
      <c r="F28" s="492">
        <f>100-'[2]ИНДИКАТОРЫ'!M26</f>
        <v>18.182950530762838</v>
      </c>
      <c r="G28" s="492">
        <f>100-'[2]ИНДИКАТОРЫ'!F26</f>
        <v>46.21136027236786</v>
      </c>
      <c r="H28" s="492">
        <f>100-'[2]ИНДИКАТОРЫ'!G26</f>
        <v>54.66555140940722</v>
      </c>
      <c r="I28" s="492">
        <f>100-'[2]ИНДИКАТОРЫ'!H26</f>
        <v>60.696173916259504</v>
      </c>
      <c r="J28" s="492">
        <f>100-'[2]ИНДИКАТОРЫ'!I26</f>
        <v>67.2510250680752</v>
      </c>
      <c r="K28" s="492">
        <f>100-'[2]ИНДИКАТОРЫ'!J26</f>
        <v>81.43732900285399</v>
      </c>
      <c r="L28" s="492">
        <v>84</v>
      </c>
      <c r="M28" s="492">
        <v>95</v>
      </c>
      <c r="N28" s="494" t="s">
        <v>222</v>
      </c>
    </row>
    <row r="29" ht="21" customHeight="1"/>
    <row r="30" spans="1:15" s="487" customFormat="1" ht="24.75" customHeight="1">
      <c r="A30" s="486"/>
      <c r="B30" s="859" t="s">
        <v>360</v>
      </c>
      <c r="C30" s="859"/>
      <c r="D30" s="859"/>
      <c r="E30" s="495"/>
      <c r="F30" s="495"/>
      <c r="G30" s="499"/>
      <c r="H30" s="495"/>
      <c r="I30" s="488"/>
      <c r="J30" s="488"/>
      <c r="K30" s="488"/>
      <c r="L30" s="860" t="s">
        <v>141</v>
      </c>
      <c r="M30" s="860"/>
      <c r="N30" s="860"/>
      <c r="O30" s="500">
        <f>1318-'приложение 3.1'!G18</f>
        <v>487</v>
      </c>
    </row>
    <row r="31" spans="1:14" s="487" customFormat="1" ht="19.5" customHeight="1">
      <c r="A31" s="486"/>
      <c r="B31" s="859"/>
      <c r="C31" s="859"/>
      <c r="D31" s="859"/>
      <c r="E31" s="495"/>
      <c r="F31" s="495"/>
      <c r="G31" s="499"/>
      <c r="H31" s="495"/>
      <c r="I31" s="488"/>
      <c r="J31" s="488"/>
      <c r="K31" s="488"/>
      <c r="L31" s="860"/>
      <c r="M31" s="860"/>
      <c r="N31" s="860"/>
    </row>
  </sheetData>
  <sheetProtection/>
  <mergeCells count="12">
    <mergeCell ref="B30:D31"/>
    <mergeCell ref="L30:N31"/>
    <mergeCell ref="A9:M9"/>
    <mergeCell ref="G11:M11"/>
    <mergeCell ref="A11:A12"/>
    <mergeCell ref="B11:B12"/>
    <mergeCell ref="C11:C12"/>
    <mergeCell ref="D11:F11"/>
    <mergeCell ref="H1:J1"/>
    <mergeCell ref="K1:M1"/>
    <mergeCell ref="H2:M2"/>
    <mergeCell ref="H3:M7"/>
  </mergeCells>
  <printOptions/>
  <pageMargins left="0.3937007874015748" right="0" top="0.17" bottom="0.19" header="0.21" footer="0.19"/>
  <pageSetup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CI206"/>
  <sheetViews>
    <sheetView view="pageBreakPreview" zoomScale="50" zoomScaleNormal="50" zoomScaleSheetLayoutView="50" zoomScalePageLayoutView="0" workbookViewId="0" topLeftCell="A1">
      <pane xSplit="4" ySplit="5" topLeftCell="E6" activePane="bottomRight" state="frozen"/>
      <selection pane="topLeft" activeCell="A192" sqref="A192:T192"/>
      <selection pane="topRight" activeCell="A192" sqref="A192:T192"/>
      <selection pane="bottomLeft" activeCell="A192" sqref="A192:T192"/>
      <selection pane="bottomRight" activeCell="A192" sqref="A192:T192"/>
    </sheetView>
  </sheetViews>
  <sheetFormatPr defaultColWidth="9.00390625" defaultRowHeight="12.75"/>
  <cols>
    <col min="1" max="1" width="6.75390625" style="3" customWidth="1"/>
    <col min="2" max="2" width="25.875" style="95" customWidth="1"/>
    <col min="3" max="3" width="40.875" style="15" customWidth="1"/>
    <col min="4" max="4" width="12.00390625" style="2" customWidth="1"/>
    <col min="5" max="5" width="11.625" style="47" bestFit="1" customWidth="1"/>
    <col min="6" max="6" width="10.875" style="47" customWidth="1"/>
    <col min="7" max="7" width="8.75390625" style="47" customWidth="1"/>
    <col min="8" max="8" width="7.25390625" style="47" customWidth="1"/>
    <col min="9" max="9" width="11.625" style="47" bestFit="1" customWidth="1"/>
    <col min="10" max="10" width="12.875" style="47" bestFit="1" customWidth="1"/>
    <col min="11" max="11" width="11.625" style="47" bestFit="1" customWidth="1"/>
    <col min="12" max="12" width="11.125" style="49" customWidth="1"/>
    <col min="13" max="13" width="18.125" style="49" customWidth="1"/>
    <col min="14" max="14" width="12.625" style="49" customWidth="1"/>
    <col min="15" max="15" width="16.375" style="358" customWidth="1"/>
    <col min="16" max="16" width="11.25390625" style="78" hidden="1" customWidth="1"/>
    <col min="17" max="17" width="8.125" style="51" customWidth="1"/>
    <col min="18" max="18" width="8.875" style="49" customWidth="1"/>
    <col min="19" max="19" width="7.875" style="49" customWidth="1"/>
    <col min="20" max="20" width="7.625" style="49" customWidth="1"/>
    <col min="21" max="21" width="0" style="114" hidden="1" customWidth="1"/>
    <col min="22" max="22" width="10.125" style="11" hidden="1" customWidth="1"/>
    <col min="23" max="87" width="9.125" style="11" customWidth="1"/>
    <col min="88" max="16384" width="9.125" style="1" customWidth="1"/>
  </cols>
  <sheetData>
    <row r="1" spans="9:20" ht="18" customHeight="1">
      <c r="I1" s="927"/>
      <c r="J1" s="927"/>
      <c r="K1" s="48"/>
      <c r="L1" s="375"/>
      <c r="O1" s="78"/>
      <c r="Q1" s="928" t="s">
        <v>399</v>
      </c>
      <c r="R1" s="928"/>
      <c r="S1" s="928"/>
      <c r="T1" s="928"/>
    </row>
    <row r="2" spans="1:20" ht="26.25" customHeight="1">
      <c r="A2" s="929" t="s">
        <v>568</v>
      </c>
      <c r="B2" s="929"/>
      <c r="C2" s="929"/>
      <c r="D2" s="929"/>
      <c r="E2" s="929"/>
      <c r="F2" s="929"/>
      <c r="G2" s="929"/>
      <c r="H2" s="929"/>
      <c r="I2" s="929"/>
      <c r="J2" s="929"/>
      <c r="K2" s="929"/>
      <c r="L2" s="929"/>
      <c r="M2" s="929"/>
      <c r="N2" s="929"/>
      <c r="O2" s="929"/>
      <c r="P2" s="929"/>
      <c r="Q2" s="929"/>
      <c r="R2" s="929"/>
      <c r="S2" s="929"/>
      <c r="T2" s="929"/>
    </row>
    <row r="3" spans="1:20" ht="11.25" customHeight="1">
      <c r="A3" s="4"/>
      <c r="B3" s="96"/>
      <c r="C3" s="18"/>
      <c r="D3" s="5"/>
      <c r="E3" s="50"/>
      <c r="F3" s="50"/>
      <c r="G3" s="50"/>
      <c r="H3" s="50"/>
      <c r="I3" s="50"/>
      <c r="J3" s="50"/>
      <c r="K3" s="50"/>
      <c r="L3" s="375"/>
      <c r="O3" s="78"/>
      <c r="R3" s="930"/>
      <c r="S3" s="930"/>
      <c r="T3" s="930"/>
    </row>
    <row r="4" spans="1:22" ht="39.75" customHeight="1">
      <c r="A4" s="932" t="s">
        <v>377</v>
      </c>
      <c r="B4" s="926" t="s">
        <v>374</v>
      </c>
      <c r="C4" s="926" t="s">
        <v>392</v>
      </c>
      <c r="D4" s="926" t="s">
        <v>372</v>
      </c>
      <c r="E4" s="910" t="s">
        <v>385</v>
      </c>
      <c r="F4" s="910"/>
      <c r="G4" s="910"/>
      <c r="H4" s="910"/>
      <c r="I4" s="910"/>
      <c r="J4" s="910"/>
      <c r="K4" s="910"/>
      <c r="L4" s="887" t="s">
        <v>786</v>
      </c>
      <c r="M4" s="931" t="s">
        <v>432</v>
      </c>
      <c r="N4" s="925" t="s">
        <v>398</v>
      </c>
      <c r="O4" s="923" t="s">
        <v>433</v>
      </c>
      <c r="P4" s="924" t="s">
        <v>680</v>
      </c>
      <c r="Q4" s="925" t="s">
        <v>387</v>
      </c>
      <c r="R4" s="925"/>
      <c r="S4" s="925"/>
      <c r="T4" s="925"/>
      <c r="U4" s="919" t="s">
        <v>701</v>
      </c>
      <c r="V4" s="919" t="s">
        <v>700</v>
      </c>
    </row>
    <row r="5" spans="1:25" ht="85.5" customHeight="1">
      <c r="A5" s="866"/>
      <c r="B5" s="926"/>
      <c r="C5" s="926"/>
      <c r="D5" s="926"/>
      <c r="E5" s="70" t="s">
        <v>386</v>
      </c>
      <c r="F5" s="70" t="s">
        <v>376</v>
      </c>
      <c r="G5" s="70" t="s">
        <v>375</v>
      </c>
      <c r="H5" s="70" t="s">
        <v>373</v>
      </c>
      <c r="I5" s="71" t="s">
        <v>382</v>
      </c>
      <c r="J5" s="71" t="s">
        <v>480</v>
      </c>
      <c r="K5" s="71" t="s">
        <v>383</v>
      </c>
      <c r="L5" s="887"/>
      <c r="M5" s="931"/>
      <c r="N5" s="925"/>
      <c r="O5" s="923"/>
      <c r="P5" s="924"/>
      <c r="Q5" s="111" t="s">
        <v>388</v>
      </c>
      <c r="R5" s="111" t="s">
        <v>389</v>
      </c>
      <c r="S5" s="111" t="s">
        <v>390</v>
      </c>
      <c r="T5" s="111" t="s">
        <v>391</v>
      </c>
      <c r="U5" s="919"/>
      <c r="V5" s="919"/>
      <c r="W5" s="25"/>
      <c r="X5" s="353"/>
      <c r="Y5" s="25"/>
    </row>
    <row r="6" spans="1:25" ht="15.75" customHeight="1">
      <c r="A6" s="920"/>
      <c r="B6" s="921" t="s">
        <v>435</v>
      </c>
      <c r="C6" s="921"/>
      <c r="D6" s="21">
        <v>2010</v>
      </c>
      <c r="E6" s="23">
        <f aca="true" t="shared" si="0" ref="E6:K10">E16+E22+E53+E64+E102+E123+E174+E193</f>
        <v>1698.985</v>
      </c>
      <c r="F6" s="23">
        <f t="shared" si="0"/>
        <v>229.5</v>
      </c>
      <c r="G6" s="23">
        <f t="shared" si="0"/>
        <v>32.485</v>
      </c>
      <c r="H6" s="23">
        <f t="shared" si="0"/>
        <v>5.8</v>
      </c>
      <c r="I6" s="23">
        <f t="shared" si="0"/>
        <v>1122.6999999999998</v>
      </c>
      <c r="J6" s="23">
        <f t="shared" si="0"/>
        <v>258.5</v>
      </c>
      <c r="K6" s="23">
        <f t="shared" si="0"/>
        <v>50</v>
      </c>
      <c r="L6" s="922"/>
      <c r="M6" s="922"/>
      <c r="N6" s="79">
        <f>N16+N22+N53+N64+N102+N123+N174+N193</f>
        <v>400.13292499999994</v>
      </c>
      <c r="O6" s="79">
        <f>O16+O22+O53+O170+O64+O102+O123+O174</f>
        <v>1048.3</v>
      </c>
      <c r="P6" s="79"/>
      <c r="Q6" s="79">
        <f aca="true" t="shared" si="1" ref="Q6:T10">Q16+Q22+Q53+Q64+Q102+Q123+Q174+Q193</f>
        <v>376.93974320499996</v>
      </c>
      <c r="R6" s="79">
        <f t="shared" si="1"/>
        <v>251.96890350000004</v>
      </c>
      <c r="S6" s="79">
        <f t="shared" si="1"/>
        <v>106.7728877935</v>
      </c>
      <c r="T6" s="79">
        <f t="shared" si="1"/>
        <v>18.1979519115</v>
      </c>
      <c r="U6" s="115" t="e">
        <f>U16+U29+U35+U41+#REF!+#REF!+#REF!+#REF!+#REF!+#REF!+#REF!+#REF!+#REF!+#REF!+#REF!+#REF!+#REF!+U65+#REF!+#REF!+#REF!+#REF!+#REF!</f>
        <v>#REF!</v>
      </c>
      <c r="V6" s="134" t="e">
        <f>V29+V35+V41+#REF!+#REF!+#REF!+#REF!+#REF!+#REF!+#REF!+#REF!+#REF!+#REF!+#REF!+#REF!+#REF!+V65+#REF!+#REF!+#REF!+#REF!+#REF!+V71+#REF!+#REF!+#REF!+#REF!+#REF!+#REF!+V82+#REF!+#REF!+#REF!+#REF!+#REF!+#REF!+#REF!+V83+#REF!+#REF!+#REF!+#REF!+#REF!+#REF!+V90+#REF!+#REF!+#REF!+#REF!+#REF!</f>
        <v>#REF!</v>
      </c>
      <c r="W6" s="25"/>
      <c r="X6" s="354"/>
      <c r="Y6" s="25"/>
    </row>
    <row r="7" spans="1:25" ht="15.75">
      <c r="A7" s="920"/>
      <c r="B7" s="921"/>
      <c r="C7" s="921"/>
      <c r="D7" s="21">
        <v>2011</v>
      </c>
      <c r="E7" s="23">
        <f t="shared" si="0"/>
        <v>650.9</v>
      </c>
      <c r="F7" s="23">
        <f t="shared" si="0"/>
        <v>0</v>
      </c>
      <c r="G7" s="23">
        <f t="shared" si="0"/>
        <v>6.5</v>
      </c>
      <c r="H7" s="23">
        <f t="shared" si="0"/>
        <v>4.3</v>
      </c>
      <c r="I7" s="23">
        <f t="shared" si="0"/>
        <v>72.79999999999998</v>
      </c>
      <c r="J7" s="23">
        <f t="shared" si="0"/>
        <v>537.3</v>
      </c>
      <c r="K7" s="23">
        <f t="shared" si="0"/>
        <v>30</v>
      </c>
      <c r="L7" s="922"/>
      <c r="M7" s="922"/>
      <c r="N7" s="79">
        <f>N17+N23+N54+N65+N103+N124+N175+N194</f>
        <v>407.6914999999999</v>
      </c>
      <c r="O7" s="79">
        <f>O17+O23+O54+O171+O65+O103+O124+O175</f>
        <v>118.65</v>
      </c>
      <c r="P7" s="79"/>
      <c r="Q7" s="79">
        <f t="shared" si="1"/>
        <v>385.422554576</v>
      </c>
      <c r="R7" s="79">
        <f t="shared" si="1"/>
        <v>259.8855557999999</v>
      </c>
      <c r="S7" s="79">
        <f t="shared" si="1"/>
        <v>108.0805871432</v>
      </c>
      <c r="T7" s="79">
        <f t="shared" si="1"/>
        <v>17.4564116328</v>
      </c>
      <c r="U7" s="115" t="e">
        <f>U17+U30+U36+U42+#REF!+#REF!+#REF!+#REF!+#REF!+#REF!+#REF!+#REF!+U60+#REF!+#REF!+#REF!+#REF!+U66+#REF!+#REF!+#REF!+#REF!+#REF!</f>
        <v>#REF!</v>
      </c>
      <c r="V7" s="134" t="e">
        <f>V30+V36+V42+#REF!+#REF!+#REF!+#REF!+#REF!+#REF!+#REF!+#REF!+V60+#REF!+#REF!+#REF!+#REF!+V66+#REF!+#REF!+#REF!+#REF!+#REF!+#REF!+#REF!+#REF!+#REF!+#REF!+#REF!+#REF!+#REF!+#REF!+#REF!+#REF!+#REF!+#REF!+#REF!+V84+#REF!+#REF!+#REF!+#REF!+#REF!+#REF!+V91+#REF!+#REF!+#REF!+#REF!+#REF!</f>
        <v>#REF!</v>
      </c>
      <c r="W7" s="25"/>
      <c r="X7" s="354"/>
      <c r="Y7" s="25"/>
    </row>
    <row r="8" spans="1:25" ht="15.75">
      <c r="A8" s="920"/>
      <c r="B8" s="921"/>
      <c r="C8" s="921"/>
      <c r="D8" s="21">
        <v>2012</v>
      </c>
      <c r="E8" s="23">
        <f t="shared" si="0"/>
        <v>0</v>
      </c>
      <c r="F8" s="23">
        <f t="shared" si="0"/>
        <v>0</v>
      </c>
      <c r="G8" s="23">
        <f t="shared" si="0"/>
        <v>0</v>
      </c>
      <c r="H8" s="23">
        <f t="shared" si="0"/>
        <v>0</v>
      </c>
      <c r="I8" s="23">
        <f t="shared" si="0"/>
        <v>0</v>
      </c>
      <c r="J8" s="23">
        <f t="shared" si="0"/>
        <v>0</v>
      </c>
      <c r="K8" s="23">
        <f t="shared" si="0"/>
        <v>0</v>
      </c>
      <c r="L8" s="922"/>
      <c r="M8" s="922"/>
      <c r="N8" s="79">
        <f>N18+N24+N55+N66+N104+N125+N176+N195</f>
        <v>413.04999999999995</v>
      </c>
      <c r="O8" s="79">
        <f>O18+O24+O55+O172+O66+O104+O125+O176</f>
        <v>21</v>
      </c>
      <c r="P8" s="79"/>
      <c r="Q8" s="79">
        <f t="shared" si="1"/>
        <v>401.47080257760007</v>
      </c>
      <c r="R8" s="79">
        <f t="shared" si="1"/>
        <v>272.7134521456</v>
      </c>
      <c r="S8" s="79">
        <f t="shared" si="1"/>
        <v>110.8452413024</v>
      </c>
      <c r="T8" s="79">
        <f t="shared" si="1"/>
        <v>17.912109129599997</v>
      </c>
      <c r="U8" s="115" t="e">
        <f>U18+U31+U37+U43+#REF!+#REF!+#REF!+#REF!+#REF!+#REF!+#REF!+#REF!+U61+#REF!+#REF!+#REF!+#REF!+U67+#REF!+#REF!+#REF!+#REF!+#REF!</f>
        <v>#REF!</v>
      </c>
      <c r="V8" s="134" t="e">
        <f>V31+V37+V43+#REF!+#REF!+#REF!+#REF!+#REF!+#REF!+#REF!+#REF!+V61+#REF!+#REF!+#REF!+#REF!+V67+#REF!+#REF!+#REF!+#REF!+#REF!+#REF!+#REF!+#REF!+#REF!+#REF!+#REF!+#REF!+#REF!+#REF!+#REF!+#REF!+#REF!+#REF!+#REF!+V85+#REF!+#REF!+#REF!+#REF!+#REF!+#REF!+#REF!+#REF!+#REF!+#REF!+#REF!</f>
        <v>#REF!</v>
      </c>
      <c r="W8" s="25"/>
      <c r="X8" s="354"/>
      <c r="Y8" s="25"/>
    </row>
    <row r="9" spans="1:25" ht="15.75">
      <c r="A9" s="920"/>
      <c r="B9" s="921"/>
      <c r="C9" s="921"/>
      <c r="D9" s="21">
        <v>2013</v>
      </c>
      <c r="E9" s="23">
        <f t="shared" si="0"/>
        <v>0</v>
      </c>
      <c r="F9" s="23">
        <f t="shared" si="0"/>
        <v>0</v>
      </c>
      <c r="G9" s="23">
        <f t="shared" si="0"/>
        <v>0</v>
      </c>
      <c r="H9" s="23">
        <f t="shared" si="0"/>
        <v>0</v>
      </c>
      <c r="I9" s="23">
        <f t="shared" si="0"/>
        <v>0</v>
      </c>
      <c r="J9" s="23">
        <f t="shared" si="0"/>
        <v>0</v>
      </c>
      <c r="K9" s="23">
        <f t="shared" si="0"/>
        <v>0</v>
      </c>
      <c r="L9" s="922"/>
      <c r="M9" s="922"/>
      <c r="N9" s="79">
        <f>N19+N25+N56+N67+N105+N126+N177+N196</f>
        <v>414.04999999999995</v>
      </c>
      <c r="O9" s="79">
        <f>O19+O25+O56+O173+O67+O105+O126+O177</f>
        <v>11</v>
      </c>
      <c r="P9" s="79"/>
      <c r="Q9" s="79">
        <f t="shared" si="1"/>
        <v>423.03760825087994</v>
      </c>
      <c r="R9" s="79">
        <f t="shared" si="1"/>
        <v>304.10047620288</v>
      </c>
      <c r="S9" s="79">
        <f t="shared" si="1"/>
        <v>104.02508843359999</v>
      </c>
      <c r="T9" s="79">
        <f t="shared" si="1"/>
        <v>14.9120436144</v>
      </c>
      <c r="U9" s="115" t="e">
        <f>U19+U32+U38+U44+#REF!+#REF!+#REF!+#REF!+#REF!+#REF!+#REF!+#REF!+U62+#REF!+#REF!+#REF!+#REF!+U68+#REF!+#REF!+#REF!+#REF!+#REF!</f>
        <v>#REF!</v>
      </c>
      <c r="V9" s="134" t="e">
        <f>V32+V38+V44+#REF!+#REF!+#REF!+#REF!+#REF!+#REF!+#REF!+#REF!+V62+#REF!+#REF!+#REF!+#REF!+V68+#REF!+#REF!+#REF!+#REF!+#REF!+#REF!+#REF!+#REF!+#REF!+#REF!+#REF!+#REF!+#REF!+#REF!+#REF!+#REF!+#REF!+#REF!+#REF!+V86+#REF!+#REF!+#REF!+#REF!+#REF!+#REF!+#REF!+#REF!+#REF!+#REF!+#REF!</f>
        <v>#REF!</v>
      </c>
      <c r="W9" s="25"/>
      <c r="X9" s="354"/>
      <c r="Y9" s="25"/>
    </row>
    <row r="10" spans="1:25" ht="15.75">
      <c r="A10" s="920"/>
      <c r="B10" s="921"/>
      <c r="C10" s="921"/>
      <c r="D10" s="21">
        <v>2014</v>
      </c>
      <c r="E10" s="23">
        <f t="shared" si="0"/>
        <v>0</v>
      </c>
      <c r="F10" s="23">
        <f t="shared" si="0"/>
        <v>0</v>
      </c>
      <c r="G10" s="23">
        <f t="shared" si="0"/>
        <v>0</v>
      </c>
      <c r="H10" s="23">
        <f t="shared" si="0"/>
        <v>0</v>
      </c>
      <c r="I10" s="23">
        <f t="shared" si="0"/>
        <v>0</v>
      </c>
      <c r="J10" s="23">
        <f t="shared" si="0"/>
        <v>0</v>
      </c>
      <c r="K10" s="23">
        <f t="shared" si="0"/>
        <v>0</v>
      </c>
      <c r="L10" s="922"/>
      <c r="M10" s="922"/>
      <c r="N10" s="79">
        <f>N20+N26+N57+N68+N106+N127+N178+N197</f>
        <v>414.54999999999995</v>
      </c>
      <c r="O10" s="79">
        <f>O20+O26+O57+O174+O68+O106+O127+O178</f>
        <v>1.2</v>
      </c>
      <c r="P10" s="79"/>
      <c r="Q10" s="79">
        <f t="shared" si="1"/>
        <v>407.66499048</v>
      </c>
      <c r="R10" s="79">
        <f t="shared" si="1"/>
        <v>296.83819</v>
      </c>
      <c r="S10" s="79">
        <f t="shared" si="1"/>
        <v>98.374856336</v>
      </c>
      <c r="T10" s="79">
        <f t="shared" si="1"/>
        <v>12.451944144000002</v>
      </c>
      <c r="U10" s="115" t="e">
        <f>U20+U33+U39+U45+#REF!+#REF!+#REF!+#REF!+#REF!+#REF!+#REF!+#REF!+#REF!+#REF!+#REF!+#REF!+#REF!+U69+#REF!+#REF!+#REF!+#REF!+#REF!</f>
        <v>#REF!</v>
      </c>
      <c r="V10" s="134" t="e">
        <f>V33+V39+V45+#REF!+#REF!+#REF!+#REF!+#REF!+#REF!+#REF!+#REF!+#REF!+#REF!+#REF!+#REF!+#REF!+V69+#REF!+#REF!+#REF!+#REF!+#REF!+#REF!+#REF!+#REF!+#REF!+#REF!+#REF!+#REF!+#REF!+#REF!+#REF!+#REF!+#REF!+#REF!+#REF!+V87+#REF!+#REF!+#REF!+#REF!+#REF!+#REF!+#REF!+#REF!+#REF!+#REF!+#REF!</f>
        <v>#REF!</v>
      </c>
      <c r="W10" s="25"/>
      <c r="X10" s="354"/>
      <c r="Y10" s="25"/>
    </row>
    <row r="11" spans="1:25" ht="15.75">
      <c r="A11" s="920"/>
      <c r="B11" s="921"/>
      <c r="C11" s="921"/>
      <c r="D11" s="21" t="s">
        <v>378</v>
      </c>
      <c r="E11" s="23">
        <f>SUM(E6:E10)</f>
        <v>2349.8849999999998</v>
      </c>
      <c r="F11" s="23">
        <f aca="true" t="shared" si="2" ref="F11:K11">SUM(F6:F10)</f>
        <v>229.5</v>
      </c>
      <c r="G11" s="23">
        <f t="shared" si="2"/>
        <v>38.985</v>
      </c>
      <c r="H11" s="23">
        <f t="shared" si="2"/>
        <v>10.1</v>
      </c>
      <c r="I11" s="23">
        <f t="shared" si="2"/>
        <v>1195.4999999999998</v>
      </c>
      <c r="J11" s="23">
        <f t="shared" si="2"/>
        <v>795.8</v>
      </c>
      <c r="K11" s="23">
        <f t="shared" si="2"/>
        <v>80</v>
      </c>
      <c r="L11" s="922"/>
      <c r="M11" s="922"/>
      <c r="N11" s="79">
        <f>SUM(N6:N10)</f>
        <v>2049.4744249999994</v>
      </c>
      <c r="O11" s="79">
        <f>O15+O27+O58+O69+O172+O107+O128+O179</f>
        <v>1199.95</v>
      </c>
      <c r="P11" s="79"/>
      <c r="Q11" s="79">
        <f aca="true" t="shared" si="3" ref="Q11:V11">SUM(Q6:Q10)</f>
        <v>1994.5356990894797</v>
      </c>
      <c r="R11" s="79">
        <f t="shared" si="3"/>
        <v>1385.5065776484798</v>
      </c>
      <c r="S11" s="79">
        <f t="shared" si="3"/>
        <v>528.0986610087</v>
      </c>
      <c r="T11" s="79">
        <f t="shared" si="3"/>
        <v>80.93046043230001</v>
      </c>
      <c r="U11" s="134" t="e">
        <f t="shared" si="3"/>
        <v>#REF!</v>
      </c>
      <c r="V11" s="134" t="e">
        <f t="shared" si="3"/>
        <v>#REF!</v>
      </c>
      <c r="W11" s="25"/>
      <c r="X11" s="354"/>
      <c r="Y11" s="25"/>
    </row>
    <row r="12" spans="1:25" ht="15.75" customHeight="1">
      <c r="A12" s="915" t="s">
        <v>380</v>
      </c>
      <c r="B12" s="915"/>
      <c r="C12" s="915"/>
      <c r="D12" s="915"/>
      <c r="E12" s="915"/>
      <c r="F12" s="915"/>
      <c r="G12" s="915"/>
      <c r="H12" s="915"/>
      <c r="I12" s="915"/>
      <c r="J12" s="915"/>
      <c r="K12" s="915"/>
      <c r="L12" s="915"/>
      <c r="M12" s="915"/>
      <c r="N12" s="915"/>
      <c r="O12" s="915"/>
      <c r="P12" s="915"/>
      <c r="Q12" s="915"/>
      <c r="R12" s="915"/>
      <c r="S12" s="915"/>
      <c r="T12" s="915"/>
      <c r="V12" s="25"/>
      <c r="W12" s="25"/>
      <c r="X12" s="25"/>
      <c r="Y12" s="25"/>
    </row>
    <row r="13" spans="1:25" ht="15.75" customHeight="1" hidden="1">
      <c r="A13" s="72"/>
      <c r="B13" s="72"/>
      <c r="C13" s="72"/>
      <c r="D13" s="72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80"/>
      <c r="P13" s="80"/>
      <c r="Q13" s="73"/>
      <c r="R13" s="73"/>
      <c r="S13" s="73"/>
      <c r="T13" s="73"/>
      <c r="V13" s="25"/>
      <c r="W13" s="25"/>
      <c r="X13" s="25"/>
      <c r="Y13" s="25"/>
    </row>
    <row r="14" spans="1:25" ht="15" customHeight="1" thickBot="1">
      <c r="A14" s="872" t="s">
        <v>436</v>
      </c>
      <c r="B14" s="872"/>
      <c r="C14" s="872"/>
      <c r="D14" s="872"/>
      <c r="E14" s="872"/>
      <c r="F14" s="872"/>
      <c r="G14" s="872"/>
      <c r="H14" s="872"/>
      <c r="I14" s="872"/>
      <c r="J14" s="872"/>
      <c r="K14" s="872"/>
      <c r="L14" s="872"/>
      <c r="M14" s="872"/>
      <c r="N14" s="872"/>
      <c r="O14" s="872"/>
      <c r="P14" s="872"/>
      <c r="Q14" s="872"/>
      <c r="R14" s="872"/>
      <c r="S14" s="872"/>
      <c r="T14" s="872"/>
      <c r="U14" s="113"/>
      <c r="V14" s="25"/>
      <c r="W14" s="25"/>
      <c r="X14" s="25"/>
      <c r="Y14" s="25"/>
    </row>
    <row r="15" spans="1:25" ht="15" customHeight="1">
      <c r="A15" s="893">
        <v>1</v>
      </c>
      <c r="B15" s="882" t="s">
        <v>475</v>
      </c>
      <c r="C15" s="893" t="s">
        <v>437</v>
      </c>
      <c r="D15" s="74" t="s">
        <v>570</v>
      </c>
      <c r="E15" s="35">
        <f>SUM(E16:E20)</f>
        <v>182.7</v>
      </c>
      <c r="F15" s="35">
        <f aca="true" t="shared" si="4" ref="F15:K15">SUM(F16:F20)</f>
        <v>0</v>
      </c>
      <c r="G15" s="35">
        <f t="shared" si="4"/>
        <v>0</v>
      </c>
      <c r="H15" s="35">
        <f t="shared" si="4"/>
        <v>0</v>
      </c>
      <c r="I15" s="35">
        <f t="shared" si="4"/>
        <v>182.7</v>
      </c>
      <c r="J15" s="35">
        <f t="shared" si="4"/>
        <v>0</v>
      </c>
      <c r="K15" s="35">
        <f t="shared" si="4"/>
        <v>0</v>
      </c>
      <c r="L15" s="903" t="s">
        <v>790</v>
      </c>
      <c r="M15" s="903" t="s">
        <v>438</v>
      </c>
      <c r="N15" s="878">
        <v>0</v>
      </c>
      <c r="O15" s="29">
        <f aca="true" t="shared" si="5" ref="O15:U15">SUM(O16:O20)</f>
        <v>394</v>
      </c>
      <c r="P15" s="26">
        <f t="shared" si="5"/>
        <v>1970</v>
      </c>
      <c r="Q15" s="26">
        <f t="shared" si="5"/>
        <v>212.72757814848</v>
      </c>
      <c r="R15" s="26">
        <f t="shared" si="5"/>
        <v>51.28544014848001</v>
      </c>
      <c r="S15" s="26">
        <f t="shared" si="5"/>
        <v>113.0094966</v>
      </c>
      <c r="T15" s="26">
        <f t="shared" si="5"/>
        <v>48.432641399999994</v>
      </c>
      <c r="U15" s="343">
        <f t="shared" si="5"/>
        <v>5698.382238720001</v>
      </c>
      <c r="V15" s="133"/>
      <c r="W15" s="25"/>
      <c r="X15" s="25"/>
      <c r="Y15" s="25"/>
    </row>
    <row r="16" spans="1:25" ht="15">
      <c r="A16" s="893"/>
      <c r="B16" s="916"/>
      <c r="C16" s="883"/>
      <c r="D16" s="27">
        <v>2010</v>
      </c>
      <c r="E16" s="16">
        <f>F16+I16</f>
        <v>182.7</v>
      </c>
      <c r="F16" s="26"/>
      <c r="G16" s="16"/>
      <c r="H16" s="16"/>
      <c r="I16" s="26">
        <v>182.7</v>
      </c>
      <c r="J16" s="16"/>
      <c r="K16" s="16"/>
      <c r="L16" s="917"/>
      <c r="M16" s="918"/>
      <c r="N16" s="878"/>
      <c r="O16" s="29">
        <v>394</v>
      </c>
      <c r="P16" s="29">
        <f>O16</f>
        <v>394</v>
      </c>
      <c r="Q16" s="26">
        <f>SUM(R16:T16)</f>
        <v>45.430776</v>
      </c>
      <c r="R16" s="26">
        <f>U16*0.05*0.18</f>
        <v>10.713600000000001</v>
      </c>
      <c r="S16" s="26">
        <f>'Баланс ТР '!G11*17.4*0.13*12/1000*0.7</f>
        <v>24.3020232</v>
      </c>
      <c r="T16" s="26">
        <f>'Баланс ТР '!G11*17.4*0.13*12/1000*0.3</f>
        <v>10.4151528</v>
      </c>
      <c r="U16" s="344">
        <v>1190.4</v>
      </c>
      <c r="V16" s="133"/>
      <c r="W16" s="25"/>
      <c r="X16" s="25"/>
      <c r="Y16" s="25"/>
    </row>
    <row r="17" spans="1:25" ht="15">
      <c r="A17" s="893"/>
      <c r="B17" s="916"/>
      <c r="C17" s="883"/>
      <c r="D17" s="27">
        <v>2011</v>
      </c>
      <c r="E17" s="16"/>
      <c r="F17" s="26"/>
      <c r="G17" s="16"/>
      <c r="H17" s="16"/>
      <c r="I17" s="26"/>
      <c r="J17" s="16"/>
      <c r="K17" s="16"/>
      <c r="L17" s="917"/>
      <c r="M17" s="918"/>
      <c r="N17" s="878"/>
      <c r="O17" s="29">
        <v>0</v>
      </c>
      <c r="P17" s="29">
        <f>P16+O17</f>
        <v>394</v>
      </c>
      <c r="Q17" s="26">
        <f>SUM(R17:T17)</f>
        <v>47.7357528</v>
      </c>
      <c r="R17" s="26">
        <f>U17*0.05*0.18</f>
        <v>11.2278528</v>
      </c>
      <c r="S17" s="26">
        <f>'Баланс ТР '!H11*18.5*12*0.13*0.7/1000</f>
        <v>25.555529999999997</v>
      </c>
      <c r="T17" s="26">
        <f>'Баланс ТР '!H11*18.5*12*0.13*0.3/1000</f>
        <v>10.95237</v>
      </c>
      <c r="U17" s="344">
        <v>1247.5392000000002</v>
      </c>
      <c r="V17" s="133"/>
      <c r="W17" s="25"/>
      <c r="X17" s="25"/>
      <c r="Y17" s="25"/>
    </row>
    <row r="18" spans="1:25" ht="15">
      <c r="A18" s="893"/>
      <c r="B18" s="916"/>
      <c r="C18" s="883"/>
      <c r="D18" s="27">
        <v>2012</v>
      </c>
      <c r="E18" s="16"/>
      <c r="F18" s="26"/>
      <c r="G18" s="16"/>
      <c r="H18" s="16"/>
      <c r="I18" s="26"/>
      <c r="J18" s="16"/>
      <c r="K18" s="16"/>
      <c r="L18" s="917"/>
      <c r="M18" s="918"/>
      <c r="N18" s="878"/>
      <c r="O18" s="29">
        <v>0</v>
      </c>
      <c r="P18" s="29">
        <f>P17+O18</f>
        <v>394</v>
      </c>
      <c r="Q18" s="26">
        <f>SUM(R18:T18)</f>
        <v>50.647745145600005</v>
      </c>
      <c r="R18" s="26">
        <f>U18*0.05*0.18</f>
        <v>11.811701145600003</v>
      </c>
      <c r="S18" s="26">
        <f>'Баланс ТР '!I11*19.9*12*0.13*0.7/1000</f>
        <v>27.185230800000003</v>
      </c>
      <c r="T18" s="26">
        <f>'Баланс ТР '!I11*19.9*12*0.13*0.3/1000</f>
        <v>11.6508132</v>
      </c>
      <c r="U18" s="344">
        <v>1312.4112384000002</v>
      </c>
      <c r="V18" s="133"/>
      <c r="W18" s="25"/>
      <c r="X18" s="25"/>
      <c r="Y18" s="25"/>
    </row>
    <row r="19" spans="1:25" ht="15">
      <c r="A19" s="893"/>
      <c r="B19" s="916"/>
      <c r="C19" s="883"/>
      <c r="D19" s="27">
        <v>2013</v>
      </c>
      <c r="E19" s="16"/>
      <c r="F19" s="26"/>
      <c r="G19" s="16"/>
      <c r="H19" s="16"/>
      <c r="I19" s="26"/>
      <c r="J19" s="16"/>
      <c r="K19" s="16"/>
      <c r="L19" s="917"/>
      <c r="M19" s="918"/>
      <c r="N19" s="878"/>
      <c r="O19" s="29">
        <v>0</v>
      </c>
      <c r="P19" s="29">
        <f>P18+O19</f>
        <v>394</v>
      </c>
      <c r="Q19" s="26">
        <f>SUM(R19:T19)</f>
        <v>43.42062420288</v>
      </c>
      <c r="R19" s="26">
        <f>U19*0.05*0.18</f>
        <v>12.402286202880003</v>
      </c>
      <c r="S19" s="26">
        <f>'Баланс ТР '!J11*21.3*12*0.13*0.7/1000</f>
        <v>21.7128366</v>
      </c>
      <c r="T19" s="26">
        <f>'Баланс ТР '!J11*21.3*12*0.13*0.3/1000</f>
        <v>9.305501399999999</v>
      </c>
      <c r="U19" s="344">
        <v>1378.0318003200002</v>
      </c>
      <c r="V19" s="133"/>
      <c r="W19" s="25"/>
      <c r="X19" s="25"/>
      <c r="Y19" s="25"/>
    </row>
    <row r="20" spans="1:25" ht="15.75" thickBot="1">
      <c r="A20" s="893"/>
      <c r="B20" s="916"/>
      <c r="C20" s="883"/>
      <c r="D20" s="27">
        <v>2014</v>
      </c>
      <c r="E20" s="16"/>
      <c r="F20" s="26"/>
      <c r="G20" s="16"/>
      <c r="H20" s="16"/>
      <c r="I20" s="26"/>
      <c r="J20" s="16"/>
      <c r="K20" s="16"/>
      <c r="L20" s="917"/>
      <c r="M20" s="918"/>
      <c r="N20" s="878"/>
      <c r="O20" s="29">
        <v>0</v>
      </c>
      <c r="P20" s="29">
        <f>P19+O20</f>
        <v>394</v>
      </c>
      <c r="Q20" s="26">
        <f>SUM(R20:T20)</f>
        <v>25.49268</v>
      </c>
      <c r="R20" s="26">
        <f>U20*0.05*0.18</f>
        <v>5.13</v>
      </c>
      <c r="S20" s="26">
        <f>'Баланс ТР '!K11*22.9*12*0.13*0.7/1000</f>
        <v>14.253876</v>
      </c>
      <c r="T20" s="26">
        <f>'Баланс ТР '!K11*22.9*12*0.13*0.3/1000</f>
        <v>6.108804</v>
      </c>
      <c r="U20" s="345">
        <v>570</v>
      </c>
      <c r="V20" s="133"/>
      <c r="W20" s="25"/>
      <c r="X20" s="25"/>
      <c r="Y20" s="25"/>
    </row>
    <row r="21" spans="1:25" ht="15" customHeight="1">
      <c r="A21" s="872" t="s">
        <v>443</v>
      </c>
      <c r="B21" s="872"/>
      <c r="C21" s="872"/>
      <c r="D21" s="872"/>
      <c r="E21" s="872"/>
      <c r="F21" s="872"/>
      <c r="G21" s="872"/>
      <c r="H21" s="872"/>
      <c r="I21" s="872"/>
      <c r="J21" s="872"/>
      <c r="K21" s="872"/>
      <c r="L21" s="872"/>
      <c r="M21" s="872"/>
      <c r="N21" s="872"/>
      <c r="O21" s="872"/>
      <c r="P21" s="872"/>
      <c r="Q21" s="872"/>
      <c r="R21" s="872"/>
      <c r="S21" s="872"/>
      <c r="T21" s="872"/>
      <c r="U21" s="113"/>
      <c r="V21" s="25"/>
      <c r="W21" s="25"/>
      <c r="X21" s="25"/>
      <c r="Y21" s="25"/>
    </row>
    <row r="22" spans="1:87" s="39" customFormat="1" ht="15" customHeight="1">
      <c r="A22" s="911"/>
      <c r="B22" s="895" t="s">
        <v>646</v>
      </c>
      <c r="C22" s="895"/>
      <c r="D22" s="42">
        <v>2010</v>
      </c>
      <c r="E22" s="43">
        <f>E29+E35+E41+E47</f>
        <v>1360.3999999999999</v>
      </c>
      <c r="F22" s="43">
        <f aca="true" t="shared" si="6" ref="F22:K22">F29+F35+F41+F47</f>
        <v>216</v>
      </c>
      <c r="G22" s="43">
        <f t="shared" si="6"/>
        <v>24</v>
      </c>
      <c r="H22" s="43">
        <f t="shared" si="6"/>
        <v>0</v>
      </c>
      <c r="I22" s="43">
        <f t="shared" si="6"/>
        <v>939.5999999999999</v>
      </c>
      <c r="J22" s="43">
        <f t="shared" si="6"/>
        <v>180.8</v>
      </c>
      <c r="K22" s="43">
        <f t="shared" si="6"/>
        <v>0</v>
      </c>
      <c r="L22" s="912"/>
      <c r="M22" s="43"/>
      <c r="N22" s="43">
        <f>N29+N35+N41+N47</f>
        <v>249.5</v>
      </c>
      <c r="O22" s="43">
        <f aca="true" t="shared" si="7" ref="O22:T22">O29+O35+O41+O47</f>
        <v>265</v>
      </c>
      <c r="P22" s="43">
        <f t="shared" si="7"/>
        <v>135</v>
      </c>
      <c r="Q22" s="43">
        <f t="shared" si="7"/>
        <v>235.16328524</v>
      </c>
      <c r="R22" s="43">
        <f t="shared" si="7"/>
        <v>182.192995</v>
      </c>
      <c r="S22" s="43">
        <f t="shared" si="7"/>
        <v>49.946199168</v>
      </c>
      <c r="T22" s="43">
        <f t="shared" si="7"/>
        <v>3.024091072</v>
      </c>
      <c r="U22" s="346" t="e">
        <f>U29+U35+U41+#REF!+#REF!+#REF!</f>
        <v>#REF!</v>
      </c>
      <c r="V22" s="43" t="e">
        <f>V29+V35+V41+#REF!+#REF!+#REF!</f>
        <v>#REF!</v>
      </c>
      <c r="W22" s="25"/>
      <c r="X22" s="25"/>
      <c r="Y22" s="25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</row>
    <row r="23" spans="1:87" s="39" customFormat="1" ht="15" customHeight="1">
      <c r="A23" s="911"/>
      <c r="B23" s="895"/>
      <c r="C23" s="895"/>
      <c r="D23" s="42">
        <v>2011</v>
      </c>
      <c r="E23" s="43">
        <f aca="true" t="shared" si="8" ref="E23:K26">E30+E36+E42+E48</f>
        <v>50</v>
      </c>
      <c r="F23" s="43">
        <f t="shared" si="8"/>
        <v>0</v>
      </c>
      <c r="G23" s="43">
        <f t="shared" si="8"/>
        <v>0</v>
      </c>
      <c r="H23" s="43">
        <f t="shared" si="8"/>
        <v>0</v>
      </c>
      <c r="I23" s="43">
        <f t="shared" si="8"/>
        <v>50</v>
      </c>
      <c r="J23" s="43">
        <f t="shared" si="8"/>
        <v>0</v>
      </c>
      <c r="K23" s="43">
        <f t="shared" si="8"/>
        <v>0</v>
      </c>
      <c r="L23" s="913"/>
      <c r="M23" s="43"/>
      <c r="N23" s="43">
        <f aca="true" t="shared" si="9" ref="N23:T26">N30+N36+N42+N48</f>
        <v>260.9</v>
      </c>
      <c r="O23" s="43">
        <f t="shared" si="9"/>
        <v>20</v>
      </c>
      <c r="P23" s="43">
        <f t="shared" si="9"/>
        <v>155</v>
      </c>
      <c r="Q23" s="43">
        <f t="shared" si="9"/>
        <v>248.541791336</v>
      </c>
      <c r="R23" s="43">
        <f t="shared" si="9"/>
        <v>192.97387299999997</v>
      </c>
      <c r="S23" s="43">
        <f t="shared" si="9"/>
        <v>52.3801388352</v>
      </c>
      <c r="T23" s="43">
        <f t="shared" si="9"/>
        <v>3.1877795008</v>
      </c>
      <c r="U23" s="346" t="e">
        <f>U30+U36+U42+#REF!+#REF!+#REF!</f>
        <v>#REF!</v>
      </c>
      <c r="V23" s="43" t="e">
        <f>V30+V36+V42+#REF!+#REF!+#REF!</f>
        <v>#REF!</v>
      </c>
      <c r="W23" s="25"/>
      <c r="X23" s="25"/>
      <c r="Y23" s="25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</row>
    <row r="24" spans="1:87" s="39" customFormat="1" ht="15" customHeight="1">
      <c r="A24" s="911"/>
      <c r="B24" s="895"/>
      <c r="C24" s="895"/>
      <c r="D24" s="42">
        <v>2012</v>
      </c>
      <c r="E24" s="43">
        <f t="shared" si="8"/>
        <v>0</v>
      </c>
      <c r="F24" s="43">
        <f t="shared" si="8"/>
        <v>0</v>
      </c>
      <c r="G24" s="43">
        <f t="shared" si="8"/>
        <v>0</v>
      </c>
      <c r="H24" s="43">
        <f t="shared" si="8"/>
        <v>0</v>
      </c>
      <c r="I24" s="43">
        <f t="shared" si="8"/>
        <v>0</v>
      </c>
      <c r="J24" s="43">
        <f t="shared" si="8"/>
        <v>0</v>
      </c>
      <c r="K24" s="43">
        <f t="shared" si="8"/>
        <v>0</v>
      </c>
      <c r="L24" s="913"/>
      <c r="M24" s="43"/>
      <c r="N24" s="43">
        <f t="shared" si="9"/>
        <v>269.65</v>
      </c>
      <c r="O24" s="43">
        <f t="shared" si="9"/>
        <v>20</v>
      </c>
      <c r="P24" s="43">
        <f t="shared" si="9"/>
        <v>175</v>
      </c>
      <c r="Q24" s="43">
        <f t="shared" si="9"/>
        <v>265.890297432</v>
      </c>
      <c r="R24" s="43">
        <f t="shared" si="9"/>
        <v>208.201751</v>
      </c>
      <c r="S24" s="43">
        <f t="shared" si="9"/>
        <v>54.3370785024</v>
      </c>
      <c r="T24" s="43">
        <f t="shared" si="9"/>
        <v>3.3514679296</v>
      </c>
      <c r="U24" s="346" t="e">
        <f>U31+U37+U43+#REF!+#REF!+#REF!</f>
        <v>#REF!</v>
      </c>
      <c r="V24" s="43" t="e">
        <f>V31+V37+V43+#REF!+#REF!+#REF!</f>
        <v>#REF!</v>
      </c>
      <c r="W24" s="25"/>
      <c r="X24" s="25"/>
      <c r="Y24" s="25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</row>
    <row r="25" spans="1:87" s="39" customFormat="1" ht="15" customHeight="1">
      <c r="A25" s="911"/>
      <c r="B25" s="895"/>
      <c r="C25" s="895"/>
      <c r="D25" s="42">
        <v>2013</v>
      </c>
      <c r="E25" s="43">
        <f t="shared" si="8"/>
        <v>0</v>
      </c>
      <c r="F25" s="43">
        <f t="shared" si="8"/>
        <v>0</v>
      </c>
      <c r="G25" s="43">
        <f t="shared" si="8"/>
        <v>0</v>
      </c>
      <c r="H25" s="43">
        <f t="shared" si="8"/>
        <v>0</v>
      </c>
      <c r="I25" s="43">
        <f t="shared" si="8"/>
        <v>0</v>
      </c>
      <c r="J25" s="43">
        <f t="shared" si="8"/>
        <v>0</v>
      </c>
      <c r="K25" s="43">
        <f t="shared" si="8"/>
        <v>0</v>
      </c>
      <c r="L25" s="913"/>
      <c r="M25" s="43"/>
      <c r="N25" s="43">
        <f t="shared" si="9"/>
        <v>270.65</v>
      </c>
      <c r="O25" s="43">
        <f t="shared" si="9"/>
        <v>10</v>
      </c>
      <c r="P25" s="43">
        <f t="shared" si="9"/>
        <v>185</v>
      </c>
      <c r="Q25" s="43">
        <f t="shared" si="9"/>
        <v>294.684224048</v>
      </c>
      <c r="R25" s="43">
        <f t="shared" si="9"/>
        <v>238.99819</v>
      </c>
      <c r="S25" s="43">
        <f t="shared" si="9"/>
        <v>52.9893198336</v>
      </c>
      <c r="T25" s="43">
        <f t="shared" si="9"/>
        <v>2.6967142144</v>
      </c>
      <c r="U25" s="346" t="e">
        <f>U32+U38+U44+#REF!+#REF!+#REF!</f>
        <v>#REF!</v>
      </c>
      <c r="V25" s="43" t="e">
        <f>V32+V38+V44+#REF!+#REF!+#REF!</f>
        <v>#REF!</v>
      </c>
      <c r="W25" s="25"/>
      <c r="X25" s="25"/>
      <c r="Y25" s="25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</row>
    <row r="26" spans="1:87" s="39" customFormat="1" ht="15" customHeight="1">
      <c r="A26" s="911"/>
      <c r="B26" s="895"/>
      <c r="C26" s="895"/>
      <c r="D26" s="42">
        <v>2014</v>
      </c>
      <c r="E26" s="43">
        <f t="shared" si="8"/>
        <v>0</v>
      </c>
      <c r="F26" s="43">
        <f t="shared" si="8"/>
        <v>0</v>
      </c>
      <c r="G26" s="43">
        <f t="shared" si="8"/>
        <v>0</v>
      </c>
      <c r="H26" s="43">
        <f t="shared" si="8"/>
        <v>0</v>
      </c>
      <c r="I26" s="43">
        <f t="shared" si="8"/>
        <v>0</v>
      </c>
      <c r="J26" s="43">
        <f t="shared" si="8"/>
        <v>0</v>
      </c>
      <c r="K26" s="43">
        <f t="shared" si="8"/>
        <v>0</v>
      </c>
      <c r="L26" s="913"/>
      <c r="M26" s="43"/>
      <c r="N26" s="43">
        <f t="shared" si="9"/>
        <v>271.15</v>
      </c>
      <c r="O26" s="43">
        <f t="shared" si="9"/>
        <v>0</v>
      </c>
      <c r="P26" s="43">
        <f t="shared" si="9"/>
        <v>185</v>
      </c>
      <c r="Q26" s="43">
        <f t="shared" si="9"/>
        <v>297.23955048</v>
      </c>
      <c r="R26" s="43">
        <f t="shared" si="9"/>
        <v>239.00818999999998</v>
      </c>
      <c r="S26" s="43">
        <f t="shared" si="9"/>
        <v>54.798048336</v>
      </c>
      <c r="T26" s="43">
        <f t="shared" si="9"/>
        <v>3.4333121440000003</v>
      </c>
      <c r="U26" s="346" t="e">
        <f>U33+U39+U45+#REF!+#REF!+#REF!</f>
        <v>#REF!</v>
      </c>
      <c r="V26" s="43" t="e">
        <f>V33+V39+V45+#REF!+#REF!+#REF!</f>
        <v>#REF!</v>
      </c>
      <c r="W26" s="25"/>
      <c r="X26" s="25"/>
      <c r="Y26" s="25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</row>
    <row r="27" spans="1:87" s="44" customFormat="1" ht="15" customHeight="1">
      <c r="A27" s="911"/>
      <c r="B27" s="895"/>
      <c r="C27" s="895"/>
      <c r="D27" s="42" t="s">
        <v>378</v>
      </c>
      <c r="E27" s="40">
        <f>SUM(E22:E26)</f>
        <v>1410.3999999999999</v>
      </c>
      <c r="F27" s="40">
        <f aca="true" t="shared" si="10" ref="F27:K27">SUM(F22:F26)</f>
        <v>216</v>
      </c>
      <c r="G27" s="40">
        <f t="shared" si="10"/>
        <v>24</v>
      </c>
      <c r="H27" s="40">
        <f t="shared" si="10"/>
        <v>0</v>
      </c>
      <c r="I27" s="40">
        <f t="shared" si="10"/>
        <v>989.5999999999999</v>
      </c>
      <c r="J27" s="40">
        <f t="shared" si="10"/>
        <v>180.8</v>
      </c>
      <c r="K27" s="40">
        <f t="shared" si="10"/>
        <v>0</v>
      </c>
      <c r="L27" s="914"/>
      <c r="M27" s="40"/>
      <c r="N27" s="40">
        <f aca="true" t="shared" si="11" ref="N27:T27">SUM(N22:N26)</f>
        <v>1321.85</v>
      </c>
      <c r="O27" s="40">
        <f t="shared" si="11"/>
        <v>315</v>
      </c>
      <c r="P27" s="40">
        <f t="shared" si="11"/>
        <v>835</v>
      </c>
      <c r="Q27" s="40">
        <f t="shared" si="11"/>
        <v>1341.5191485359999</v>
      </c>
      <c r="R27" s="40">
        <f t="shared" si="11"/>
        <v>1061.374999</v>
      </c>
      <c r="S27" s="40">
        <f t="shared" si="11"/>
        <v>264.4507846752</v>
      </c>
      <c r="T27" s="40">
        <f t="shared" si="11"/>
        <v>15.693364860800001</v>
      </c>
      <c r="U27" s="347" t="e">
        <f>SUM(U22:U26)</f>
        <v>#REF!</v>
      </c>
      <c r="V27" s="40" t="e">
        <f>SUM(V22:V26)</f>
        <v>#REF!</v>
      </c>
      <c r="W27" s="355"/>
      <c r="X27" s="355"/>
      <c r="Y27" s="355"/>
      <c r="Z27" s="356"/>
      <c r="AA27" s="356"/>
      <c r="AB27" s="356"/>
      <c r="AC27" s="356"/>
      <c r="AD27" s="356"/>
      <c r="AE27" s="356"/>
      <c r="AF27" s="356"/>
      <c r="AG27" s="356"/>
      <c r="AH27" s="356"/>
      <c r="AI27" s="356"/>
      <c r="AJ27" s="356"/>
      <c r="AK27" s="356"/>
      <c r="AL27" s="356"/>
      <c r="AM27" s="356"/>
      <c r="AN27" s="356"/>
      <c r="AO27" s="356"/>
      <c r="AP27" s="356"/>
      <c r="AQ27" s="356"/>
      <c r="AR27" s="356"/>
      <c r="AS27" s="356"/>
      <c r="AT27" s="356"/>
      <c r="AU27" s="356"/>
      <c r="AV27" s="356"/>
      <c r="AW27" s="356"/>
      <c r="AX27" s="356"/>
      <c r="AY27" s="356"/>
      <c r="AZ27" s="356"/>
      <c r="BA27" s="356"/>
      <c r="BB27" s="356"/>
      <c r="BC27" s="356"/>
      <c r="BD27" s="356"/>
      <c r="BE27" s="356"/>
      <c r="BF27" s="356"/>
      <c r="BG27" s="356"/>
      <c r="BH27" s="356"/>
      <c r="BI27" s="356"/>
      <c r="BJ27" s="356"/>
      <c r="BK27" s="356"/>
      <c r="BL27" s="356"/>
      <c r="BM27" s="356"/>
      <c r="BN27" s="356"/>
      <c r="BO27" s="356"/>
      <c r="BP27" s="356"/>
      <c r="BQ27" s="356"/>
      <c r="BR27" s="356"/>
      <c r="BS27" s="356"/>
      <c r="BT27" s="356"/>
      <c r="BU27" s="356"/>
      <c r="BV27" s="356"/>
      <c r="BW27" s="356"/>
      <c r="BX27" s="356"/>
      <c r="BY27" s="356"/>
      <c r="BZ27" s="356"/>
      <c r="CA27" s="356"/>
      <c r="CB27" s="356"/>
      <c r="CC27" s="356"/>
      <c r="CD27" s="356"/>
      <c r="CE27" s="356"/>
      <c r="CF27" s="356"/>
      <c r="CG27" s="356"/>
      <c r="CH27" s="356"/>
      <c r="CI27" s="356"/>
    </row>
    <row r="28" spans="1:87" s="44" customFormat="1" ht="15" customHeight="1">
      <c r="A28" s="893">
        <f>A15+1</f>
        <v>2</v>
      </c>
      <c r="B28" s="905" t="s">
        <v>640</v>
      </c>
      <c r="C28" s="893" t="s">
        <v>439</v>
      </c>
      <c r="D28" s="74" t="s">
        <v>570</v>
      </c>
      <c r="E28" s="35">
        <f>SUM(F29:K29)</f>
        <v>2</v>
      </c>
      <c r="F28" s="35">
        <f aca="true" t="shared" si="12" ref="F28:K28">SUM(F29:F33)</f>
        <v>0</v>
      </c>
      <c r="G28" s="35">
        <f t="shared" si="12"/>
        <v>0</v>
      </c>
      <c r="H28" s="35">
        <f t="shared" si="12"/>
        <v>0</v>
      </c>
      <c r="I28" s="35">
        <f t="shared" si="12"/>
        <v>2</v>
      </c>
      <c r="J28" s="35">
        <f t="shared" si="12"/>
        <v>0</v>
      </c>
      <c r="K28" s="35">
        <f t="shared" si="12"/>
        <v>0</v>
      </c>
      <c r="L28" s="903" t="s">
        <v>791</v>
      </c>
      <c r="M28" s="903" t="s">
        <v>440</v>
      </c>
      <c r="N28" s="77">
        <f>SUM(N29:N33)</f>
        <v>5</v>
      </c>
      <c r="O28" s="359">
        <f>SUM(O29:O33)</f>
        <v>17</v>
      </c>
      <c r="P28" s="359"/>
      <c r="Q28" s="77">
        <f>SUM(R28:T28)</f>
        <v>17.736500000000003</v>
      </c>
      <c r="R28" s="77">
        <f>SUM(R29:R33)</f>
        <v>13.204</v>
      </c>
      <c r="S28" s="77">
        <f>SUM(S29:S33)</f>
        <v>2.7427500000000005</v>
      </c>
      <c r="T28" s="77">
        <f>SUM(T29:T33)</f>
        <v>1.78975</v>
      </c>
      <c r="U28" s="124">
        <f>SUM(U29:U33)</f>
        <v>77.9</v>
      </c>
      <c r="V28" s="124">
        <f>SUM(V29:V33)</f>
        <v>1.4</v>
      </c>
      <c r="W28" s="355"/>
      <c r="X28" s="355"/>
      <c r="Y28" s="355"/>
      <c r="Z28" s="356"/>
      <c r="AA28" s="356"/>
      <c r="AB28" s="356"/>
      <c r="AC28" s="356"/>
      <c r="AD28" s="356"/>
      <c r="AE28" s="356"/>
      <c r="AF28" s="356"/>
      <c r="AG28" s="356"/>
      <c r="AH28" s="356"/>
      <c r="AI28" s="356"/>
      <c r="AJ28" s="356"/>
      <c r="AK28" s="356"/>
      <c r="AL28" s="356"/>
      <c r="AM28" s="356"/>
      <c r="AN28" s="356"/>
      <c r="AO28" s="356"/>
      <c r="AP28" s="356"/>
      <c r="AQ28" s="356"/>
      <c r="AR28" s="356"/>
      <c r="AS28" s="356"/>
      <c r="AT28" s="356"/>
      <c r="AU28" s="356"/>
      <c r="AV28" s="356"/>
      <c r="AW28" s="356"/>
      <c r="AX28" s="356"/>
      <c r="AY28" s="356"/>
      <c r="AZ28" s="356"/>
      <c r="BA28" s="356"/>
      <c r="BB28" s="356"/>
      <c r="BC28" s="356"/>
      <c r="BD28" s="356"/>
      <c r="BE28" s="356"/>
      <c r="BF28" s="356"/>
      <c r="BG28" s="356"/>
      <c r="BH28" s="356"/>
      <c r="BI28" s="356"/>
      <c r="BJ28" s="356"/>
      <c r="BK28" s="356"/>
      <c r="BL28" s="356"/>
      <c r="BM28" s="356"/>
      <c r="BN28" s="356"/>
      <c r="BO28" s="356"/>
      <c r="BP28" s="356"/>
      <c r="BQ28" s="356"/>
      <c r="BR28" s="356"/>
      <c r="BS28" s="356"/>
      <c r="BT28" s="356"/>
      <c r="BU28" s="356"/>
      <c r="BV28" s="356"/>
      <c r="BW28" s="356"/>
      <c r="BX28" s="356"/>
      <c r="BY28" s="356"/>
      <c r="BZ28" s="356"/>
      <c r="CA28" s="356"/>
      <c r="CB28" s="356"/>
      <c r="CC28" s="356"/>
      <c r="CD28" s="356"/>
      <c r="CE28" s="356"/>
      <c r="CF28" s="356"/>
      <c r="CG28" s="356"/>
      <c r="CH28" s="356"/>
      <c r="CI28" s="356"/>
    </row>
    <row r="29" spans="1:25" ht="15" customHeight="1">
      <c r="A29" s="893"/>
      <c r="B29" s="905"/>
      <c r="C29" s="893"/>
      <c r="D29" s="27">
        <v>2010</v>
      </c>
      <c r="E29" s="16">
        <f>SUM(F29:K29)</f>
        <v>2</v>
      </c>
      <c r="F29" s="16"/>
      <c r="G29" s="16"/>
      <c r="H29" s="16"/>
      <c r="I29" s="16">
        <v>2</v>
      </c>
      <c r="J29" s="16"/>
      <c r="K29" s="16"/>
      <c r="L29" s="903"/>
      <c r="M29" s="903"/>
      <c r="N29" s="26">
        <v>1</v>
      </c>
      <c r="O29" s="29">
        <v>17</v>
      </c>
      <c r="P29" s="29">
        <f>O29</f>
        <v>17</v>
      </c>
      <c r="Q29" s="26">
        <f aca="true" t="shared" si="13" ref="Q29:Q35">SUM(R29:T29)</f>
        <v>3.5473</v>
      </c>
      <c r="R29" s="26">
        <f>14.56*0.18+N29*0.02</f>
        <v>2.6408</v>
      </c>
      <c r="S29" s="26">
        <f>(1.31+2.74)*0.13*0.7+N29*0.18</f>
        <v>0.5485500000000001</v>
      </c>
      <c r="T29" s="26">
        <f>0.2+(1.31+2.74)*0.13*0.3</f>
        <v>0.35795</v>
      </c>
      <c r="U29" s="118">
        <v>14.6</v>
      </c>
      <c r="V29" s="133">
        <f aca="true" t="shared" si="14" ref="V29:V45">E29*0.7</f>
        <v>1.4</v>
      </c>
      <c r="Y29" s="25"/>
    </row>
    <row r="30" spans="1:25" ht="15">
      <c r="A30" s="893"/>
      <c r="B30" s="905"/>
      <c r="C30" s="893"/>
      <c r="D30" s="27">
        <v>2011</v>
      </c>
      <c r="E30" s="16">
        <f aca="true" t="shared" si="15" ref="E30:E39">SUM(F30:K30)</f>
        <v>0</v>
      </c>
      <c r="F30" s="16"/>
      <c r="G30" s="16"/>
      <c r="H30" s="16"/>
      <c r="I30" s="16"/>
      <c r="J30" s="16"/>
      <c r="K30" s="16"/>
      <c r="L30" s="903"/>
      <c r="M30" s="903"/>
      <c r="N30" s="26">
        <v>1</v>
      </c>
      <c r="O30" s="29">
        <v>0</v>
      </c>
      <c r="P30" s="29">
        <f>P29+O30</f>
        <v>17</v>
      </c>
      <c r="Q30" s="26">
        <f t="shared" si="13"/>
        <v>3.5473</v>
      </c>
      <c r="R30" s="26">
        <f>14.56*0.18+N30*0.02</f>
        <v>2.6408</v>
      </c>
      <c r="S30" s="26">
        <f>(1.31+2.74)*0.13*0.7+N30*0.18</f>
        <v>0.5485500000000001</v>
      </c>
      <c r="T30" s="26">
        <f>0.2+(1.31+2.74)*0.13*0.3</f>
        <v>0.35795</v>
      </c>
      <c r="U30" s="118">
        <v>15.3</v>
      </c>
      <c r="V30" s="133">
        <f t="shared" si="14"/>
        <v>0</v>
      </c>
      <c r="Y30" s="25"/>
    </row>
    <row r="31" spans="1:25" ht="15">
      <c r="A31" s="893"/>
      <c r="B31" s="905"/>
      <c r="C31" s="893"/>
      <c r="D31" s="27">
        <v>2012</v>
      </c>
      <c r="E31" s="16">
        <f t="shared" si="15"/>
        <v>0</v>
      </c>
      <c r="F31" s="16"/>
      <c r="G31" s="16"/>
      <c r="H31" s="16"/>
      <c r="I31" s="16"/>
      <c r="J31" s="16"/>
      <c r="K31" s="16"/>
      <c r="L31" s="903"/>
      <c r="M31" s="903"/>
      <c r="N31" s="26">
        <v>1</v>
      </c>
      <c r="O31" s="29">
        <v>0</v>
      </c>
      <c r="P31" s="29">
        <f>P30+O31</f>
        <v>17</v>
      </c>
      <c r="Q31" s="26">
        <f t="shared" si="13"/>
        <v>3.5473</v>
      </c>
      <c r="R31" s="26">
        <f>14.56*0.18+N31*0.02</f>
        <v>2.6408</v>
      </c>
      <c r="S31" s="26">
        <f>(1.31+2.74)*0.13*0.7+N31*0.18</f>
        <v>0.5485500000000001</v>
      </c>
      <c r="T31" s="26">
        <f>0.2+(1.31+2.74)*0.13*0.3</f>
        <v>0.35795</v>
      </c>
      <c r="U31" s="118">
        <v>16</v>
      </c>
      <c r="V31" s="133">
        <f t="shared" si="14"/>
        <v>0</v>
      </c>
      <c r="W31" s="25"/>
      <c r="X31" s="25"/>
      <c r="Y31" s="25"/>
    </row>
    <row r="32" spans="1:25" ht="15">
      <c r="A32" s="893"/>
      <c r="B32" s="905"/>
      <c r="C32" s="893"/>
      <c r="D32" s="27">
        <v>2013</v>
      </c>
      <c r="E32" s="16">
        <f t="shared" si="15"/>
        <v>0</v>
      </c>
      <c r="F32" s="16"/>
      <c r="G32" s="16"/>
      <c r="H32" s="16"/>
      <c r="I32" s="16"/>
      <c r="J32" s="16"/>
      <c r="K32" s="16"/>
      <c r="L32" s="903"/>
      <c r="M32" s="903"/>
      <c r="N32" s="26">
        <v>1</v>
      </c>
      <c r="O32" s="29">
        <v>0</v>
      </c>
      <c r="P32" s="29">
        <f>P31+O32</f>
        <v>17</v>
      </c>
      <c r="Q32" s="26">
        <f t="shared" si="13"/>
        <v>3.5473</v>
      </c>
      <c r="R32" s="26">
        <f>14.56*0.18+N32*0.02</f>
        <v>2.6408</v>
      </c>
      <c r="S32" s="26">
        <f>(1.31+2.74)*0.13*0.7+N32*0.18</f>
        <v>0.5485500000000001</v>
      </c>
      <c r="T32" s="26">
        <f>0.2+(1.31+2.74)*0.13*0.3</f>
        <v>0.35795</v>
      </c>
      <c r="U32" s="118">
        <v>16</v>
      </c>
      <c r="V32" s="133">
        <f t="shared" si="14"/>
        <v>0</v>
      </c>
      <c r="W32" s="25"/>
      <c r="X32" s="25"/>
      <c r="Y32" s="25"/>
    </row>
    <row r="33" spans="1:25" ht="15">
      <c r="A33" s="893"/>
      <c r="B33" s="905"/>
      <c r="C33" s="893"/>
      <c r="D33" s="27">
        <v>2014</v>
      </c>
      <c r="E33" s="16">
        <f t="shared" si="15"/>
        <v>0</v>
      </c>
      <c r="F33" s="16"/>
      <c r="G33" s="16"/>
      <c r="H33" s="16"/>
      <c r="I33" s="16"/>
      <c r="J33" s="16"/>
      <c r="K33" s="16"/>
      <c r="L33" s="903"/>
      <c r="M33" s="903"/>
      <c r="N33" s="26">
        <v>1</v>
      </c>
      <c r="O33" s="29">
        <v>0</v>
      </c>
      <c r="P33" s="29">
        <f>P32+O33</f>
        <v>17</v>
      </c>
      <c r="Q33" s="26">
        <f t="shared" si="13"/>
        <v>3.5473</v>
      </c>
      <c r="R33" s="26">
        <f>14.56*0.18+N33*0.02</f>
        <v>2.6408</v>
      </c>
      <c r="S33" s="26">
        <f>(1.31+2.74)*0.13*0.7+N33*0.18</f>
        <v>0.5485500000000001</v>
      </c>
      <c r="T33" s="26">
        <f>0.2+(1.31+2.74)*0.13*0.3</f>
        <v>0.35795</v>
      </c>
      <c r="U33" s="118">
        <v>16</v>
      </c>
      <c r="V33" s="133">
        <f t="shared" si="14"/>
        <v>0</v>
      </c>
      <c r="W33" s="25"/>
      <c r="X33" s="25"/>
      <c r="Y33" s="25"/>
    </row>
    <row r="34" spans="1:25" ht="15" customHeight="1">
      <c r="A34" s="893">
        <f>A28+1</f>
        <v>3</v>
      </c>
      <c r="B34" s="905" t="s">
        <v>641</v>
      </c>
      <c r="C34" s="893" t="s">
        <v>441</v>
      </c>
      <c r="D34" s="74" t="s">
        <v>570</v>
      </c>
      <c r="E34" s="35">
        <f>SUM(F35:K35)</f>
        <v>179.8</v>
      </c>
      <c r="F34" s="35">
        <f aca="true" t="shared" si="16" ref="F34:K34">SUM(F35:F39)</f>
        <v>0</v>
      </c>
      <c r="G34" s="35">
        <f t="shared" si="16"/>
        <v>0</v>
      </c>
      <c r="H34" s="35">
        <f t="shared" si="16"/>
        <v>0</v>
      </c>
      <c r="I34" s="35">
        <f t="shared" si="16"/>
        <v>0</v>
      </c>
      <c r="J34" s="35">
        <f t="shared" si="16"/>
        <v>179.8</v>
      </c>
      <c r="K34" s="35">
        <f t="shared" si="16"/>
        <v>0</v>
      </c>
      <c r="L34" s="903" t="s">
        <v>792</v>
      </c>
      <c r="M34" s="903" t="s">
        <v>442</v>
      </c>
      <c r="N34" s="77">
        <f aca="true" t="shared" si="17" ref="N34:T34">SUM(N35:N39)</f>
        <v>9.3</v>
      </c>
      <c r="O34" s="359">
        <f t="shared" si="17"/>
        <v>68</v>
      </c>
      <c r="P34" s="359"/>
      <c r="Q34" s="77">
        <f t="shared" si="17"/>
        <v>42.975999</v>
      </c>
      <c r="R34" s="77">
        <f t="shared" si="17"/>
        <v>32.019999</v>
      </c>
      <c r="S34" s="77">
        <f t="shared" si="17"/>
        <v>8.1714</v>
      </c>
      <c r="T34" s="77">
        <f t="shared" si="17"/>
        <v>2.7845999999999997</v>
      </c>
      <c r="U34" s="124">
        <f>SUM(U35:U39)</f>
        <v>176.85555000000002</v>
      </c>
      <c r="V34" s="124">
        <f>SUM(V35:V39)</f>
        <v>125.86</v>
      </c>
      <c r="W34" s="25"/>
      <c r="X34" s="25"/>
      <c r="Y34" s="25"/>
    </row>
    <row r="35" spans="1:25" ht="15">
      <c r="A35" s="893"/>
      <c r="B35" s="905"/>
      <c r="C35" s="893"/>
      <c r="D35" s="27">
        <v>2010</v>
      </c>
      <c r="E35" s="16">
        <f>SUM(F35:K35)</f>
        <v>179.8</v>
      </c>
      <c r="F35" s="26"/>
      <c r="G35" s="26"/>
      <c r="H35" s="26"/>
      <c r="I35" s="26"/>
      <c r="J35" s="26">
        <v>179.8</v>
      </c>
      <c r="K35" s="16"/>
      <c r="L35" s="903"/>
      <c r="M35" s="903"/>
      <c r="N35" s="26">
        <v>0.5</v>
      </c>
      <c r="O35" s="29">
        <v>68</v>
      </c>
      <c r="P35" s="29">
        <f>O35</f>
        <v>68</v>
      </c>
      <c r="Q35" s="26">
        <f t="shared" si="13"/>
        <v>5.838595</v>
      </c>
      <c r="R35" s="26">
        <f>U35*0.18+N35*0.02</f>
        <v>3.8921949999999996</v>
      </c>
      <c r="S35" s="26">
        <f>N35*0.18+P35*17.5*12/1000*0.13*0.7</f>
        <v>1.38948</v>
      </c>
      <c r="T35" s="26">
        <f>P35*17.5*12/1000*0.13*0.3</f>
        <v>0.55692</v>
      </c>
      <c r="U35" s="113">
        <f>289.5*149/1000*0.5</f>
        <v>21.56775</v>
      </c>
      <c r="V35" s="133">
        <f t="shared" si="14"/>
        <v>125.86</v>
      </c>
      <c r="W35" s="25"/>
      <c r="X35" s="25"/>
      <c r="Y35" s="25"/>
    </row>
    <row r="36" spans="1:25" ht="15">
      <c r="A36" s="893"/>
      <c r="B36" s="905"/>
      <c r="C36" s="893"/>
      <c r="D36" s="27">
        <v>2011</v>
      </c>
      <c r="E36" s="16">
        <f t="shared" si="15"/>
        <v>0</v>
      </c>
      <c r="F36" s="26"/>
      <c r="G36" s="26"/>
      <c r="H36" s="26"/>
      <c r="I36" s="26"/>
      <c r="J36" s="26"/>
      <c r="K36" s="16"/>
      <c r="L36" s="903"/>
      <c r="M36" s="903"/>
      <c r="N36" s="26">
        <v>1.2</v>
      </c>
      <c r="O36" s="29">
        <v>0</v>
      </c>
      <c r="P36" s="29">
        <f>P35+O36</f>
        <v>68</v>
      </c>
      <c r="Q36" s="26">
        <f>SUM(R36:T36)</f>
        <v>7.531472999999999</v>
      </c>
      <c r="R36" s="26">
        <f>U36*0.18+N36*0.02</f>
        <v>5.459072999999999</v>
      </c>
      <c r="S36" s="26">
        <f>N36*0.18+P36*17.5*12/1000*0.13*0.7</f>
        <v>1.51548</v>
      </c>
      <c r="T36" s="26">
        <f>P36*17.5*12/1000*0.13*0.3</f>
        <v>0.55692</v>
      </c>
      <c r="U36" s="113">
        <f>289.5*149/1000*0.7</f>
        <v>30.19485</v>
      </c>
      <c r="V36" s="133">
        <f t="shared" si="14"/>
        <v>0</v>
      </c>
      <c r="W36" s="25"/>
      <c r="X36" s="25"/>
      <c r="Y36" s="25"/>
    </row>
    <row r="37" spans="1:25" ht="15">
      <c r="A37" s="893"/>
      <c r="B37" s="905"/>
      <c r="C37" s="893"/>
      <c r="D37" s="27">
        <v>2012</v>
      </c>
      <c r="E37" s="16">
        <f t="shared" si="15"/>
        <v>0</v>
      </c>
      <c r="F37" s="26"/>
      <c r="G37" s="26"/>
      <c r="H37" s="26"/>
      <c r="I37" s="26"/>
      <c r="J37" s="26"/>
      <c r="K37" s="16"/>
      <c r="L37" s="903"/>
      <c r="M37" s="903"/>
      <c r="N37" s="26">
        <v>1.7</v>
      </c>
      <c r="O37" s="29">
        <v>0</v>
      </c>
      <c r="P37" s="29">
        <f>P36+O37</f>
        <v>68</v>
      </c>
      <c r="Q37" s="26">
        <f>SUM(R37:T37)</f>
        <v>9.184351</v>
      </c>
      <c r="R37" s="26">
        <f>U37*0.18+N37*0.02</f>
        <v>7.021951</v>
      </c>
      <c r="S37" s="26">
        <f>N37*0.18+P37*17.5*12/1000*0.13*0.7</f>
        <v>1.60548</v>
      </c>
      <c r="T37" s="26">
        <f>P37*17.5*12/1000*0.13*0.3</f>
        <v>0.55692</v>
      </c>
      <c r="U37" s="113">
        <f>289.5*149/1000*0.9</f>
        <v>38.82195</v>
      </c>
      <c r="V37" s="133">
        <f t="shared" si="14"/>
        <v>0</v>
      </c>
      <c r="W37" s="25"/>
      <c r="X37" s="25"/>
      <c r="Y37" s="25"/>
    </row>
    <row r="38" spans="1:25" ht="15">
      <c r="A38" s="893"/>
      <c r="B38" s="905"/>
      <c r="C38" s="893"/>
      <c r="D38" s="27">
        <v>2013</v>
      </c>
      <c r="E38" s="16">
        <f t="shared" si="15"/>
        <v>0</v>
      </c>
      <c r="F38" s="26"/>
      <c r="G38" s="26"/>
      <c r="H38" s="26"/>
      <c r="I38" s="26"/>
      <c r="J38" s="26"/>
      <c r="K38" s="16"/>
      <c r="L38" s="903"/>
      <c r="M38" s="903"/>
      <c r="N38" s="26">
        <v>2.7</v>
      </c>
      <c r="O38" s="29">
        <v>0</v>
      </c>
      <c r="P38" s="29">
        <f>P37+O38</f>
        <v>68</v>
      </c>
      <c r="Q38" s="26">
        <f>SUM(R38:T38)</f>
        <v>10.16079</v>
      </c>
      <c r="R38" s="26">
        <f>U38*0.18+N38*0.02</f>
        <v>7.81839</v>
      </c>
      <c r="S38" s="26">
        <f>N38*0.18+P38*17.5*12/1000*0.13*0.7</f>
        <v>1.78548</v>
      </c>
      <c r="T38" s="26">
        <f>P38*17.5*12/1000*0.13*0.3</f>
        <v>0.55692</v>
      </c>
      <c r="U38" s="113">
        <f>289.5*149/1000</f>
        <v>43.1355</v>
      </c>
      <c r="V38" s="133">
        <f t="shared" si="14"/>
        <v>0</v>
      </c>
      <c r="W38" s="25"/>
      <c r="X38" s="25"/>
      <c r="Y38" s="25"/>
    </row>
    <row r="39" spans="1:25" ht="15">
      <c r="A39" s="893"/>
      <c r="B39" s="905"/>
      <c r="C39" s="893"/>
      <c r="D39" s="27">
        <v>2014</v>
      </c>
      <c r="E39" s="16">
        <f t="shared" si="15"/>
        <v>0</v>
      </c>
      <c r="F39" s="26"/>
      <c r="G39" s="26"/>
      <c r="H39" s="26"/>
      <c r="I39" s="26"/>
      <c r="J39" s="26"/>
      <c r="K39" s="16"/>
      <c r="L39" s="903"/>
      <c r="M39" s="903"/>
      <c r="N39" s="26">
        <v>3.2</v>
      </c>
      <c r="O39" s="29">
        <v>0</v>
      </c>
      <c r="P39" s="29">
        <f>P38+O39</f>
        <v>68</v>
      </c>
      <c r="Q39" s="26">
        <f>SUM(R39:T39)</f>
        <v>10.26079</v>
      </c>
      <c r="R39" s="26">
        <f>U39*0.18+N39*0.02</f>
        <v>7.82839</v>
      </c>
      <c r="S39" s="26">
        <f>N39*0.18+P39*17.5*12/1000*0.13*0.7</f>
        <v>1.87548</v>
      </c>
      <c r="T39" s="26">
        <f>P39*17.5*12/1000*0.13*0.3</f>
        <v>0.55692</v>
      </c>
      <c r="U39" s="113">
        <f>289.5*149/1000</f>
        <v>43.1355</v>
      </c>
      <c r="V39" s="133">
        <f t="shared" si="14"/>
        <v>0</v>
      </c>
      <c r="W39" s="25"/>
      <c r="X39" s="25"/>
      <c r="Y39" s="25"/>
    </row>
    <row r="40" spans="1:25" ht="15" customHeight="1">
      <c r="A40" s="893">
        <f>A34+1</f>
        <v>4</v>
      </c>
      <c r="B40" s="905" t="s">
        <v>532</v>
      </c>
      <c r="C40" s="893" t="s">
        <v>548</v>
      </c>
      <c r="D40" s="74" t="s">
        <v>570</v>
      </c>
      <c r="E40" s="35">
        <f aca="true" t="shared" si="18" ref="E40:E45">SUM(F40:K40)</f>
        <v>100</v>
      </c>
      <c r="F40" s="35">
        <f aca="true" t="shared" si="19" ref="F40:K40">SUM(F41:F45)</f>
        <v>0</v>
      </c>
      <c r="G40" s="35">
        <f t="shared" si="19"/>
        <v>0</v>
      </c>
      <c r="H40" s="35">
        <f t="shared" si="19"/>
        <v>0</v>
      </c>
      <c r="I40" s="35">
        <f t="shared" si="19"/>
        <v>99</v>
      </c>
      <c r="J40" s="35">
        <f t="shared" si="19"/>
        <v>1</v>
      </c>
      <c r="K40" s="35">
        <f t="shared" si="19"/>
        <v>0</v>
      </c>
      <c r="L40" s="903" t="s">
        <v>792</v>
      </c>
      <c r="M40" s="903" t="s">
        <v>569</v>
      </c>
      <c r="N40" s="77">
        <f aca="true" t="shared" si="20" ref="N40:T40">SUM(N41:N45)</f>
        <v>72.55</v>
      </c>
      <c r="O40" s="359">
        <f t="shared" si="20"/>
        <v>100</v>
      </c>
      <c r="P40" s="77"/>
      <c r="Q40" s="77">
        <f t="shared" si="20"/>
        <v>272.240049536</v>
      </c>
      <c r="R40" s="77">
        <f t="shared" si="20"/>
        <v>250.45100000000002</v>
      </c>
      <c r="S40" s="77">
        <f t="shared" si="20"/>
        <v>19.1700346752</v>
      </c>
      <c r="T40" s="77">
        <f t="shared" si="20"/>
        <v>2.6190148608000006</v>
      </c>
      <c r="U40" s="124">
        <f>SUM(U41:U45)</f>
        <v>1383.3333333333335</v>
      </c>
      <c r="V40" s="124">
        <f>SUM(V41:V45)</f>
        <v>70</v>
      </c>
      <c r="W40" s="25"/>
      <c r="X40" s="25"/>
      <c r="Y40" s="25"/>
    </row>
    <row r="41" spans="1:25" ht="15">
      <c r="A41" s="893"/>
      <c r="B41" s="905"/>
      <c r="C41" s="893"/>
      <c r="D41" s="27">
        <v>2010</v>
      </c>
      <c r="E41" s="16">
        <f t="shared" si="18"/>
        <v>50</v>
      </c>
      <c r="F41" s="26"/>
      <c r="G41" s="26"/>
      <c r="H41" s="26"/>
      <c r="I41" s="26">
        <v>49</v>
      </c>
      <c r="J41" s="26">
        <v>1</v>
      </c>
      <c r="K41" s="16"/>
      <c r="L41" s="903"/>
      <c r="M41" s="903"/>
      <c r="N41" s="26">
        <f>1</f>
        <v>1</v>
      </c>
      <c r="O41" s="97">
        <v>50</v>
      </c>
      <c r="P41" s="29">
        <f>O41</f>
        <v>50</v>
      </c>
      <c r="Q41" s="26">
        <f>SUM(R41:T41)</f>
        <v>24.06407024</v>
      </c>
      <c r="R41" s="34">
        <f>U41*0.18+N41*0.02</f>
        <v>22.52</v>
      </c>
      <c r="S41" s="101">
        <f>O41*16.344*1.07*12/1000*0.13*0.7+N41*0.18</f>
        <v>1.1348491680000001</v>
      </c>
      <c r="T41" s="101">
        <f>O41*16.344*1.07*12/1000*0.13*0.3</f>
        <v>0.40922107200000013</v>
      </c>
      <c r="U41" s="113">
        <f>250/2</f>
        <v>125</v>
      </c>
      <c r="V41" s="133">
        <f t="shared" si="14"/>
        <v>35</v>
      </c>
      <c r="W41" s="357"/>
      <c r="X41" s="357"/>
      <c r="Y41" s="357"/>
    </row>
    <row r="42" spans="1:25" ht="15">
      <c r="A42" s="893"/>
      <c r="B42" s="905"/>
      <c r="C42" s="893"/>
      <c r="D42" s="27">
        <v>2011</v>
      </c>
      <c r="E42" s="16">
        <f t="shared" si="18"/>
        <v>50</v>
      </c>
      <c r="F42" s="26"/>
      <c r="G42" s="26"/>
      <c r="H42" s="26"/>
      <c r="I42" s="26">
        <v>50</v>
      </c>
      <c r="J42" s="26"/>
      <c r="K42" s="16"/>
      <c r="L42" s="903"/>
      <c r="M42" s="903"/>
      <c r="N42" s="26">
        <f>23.4/2</f>
        <v>11.7</v>
      </c>
      <c r="O42" s="97">
        <v>20</v>
      </c>
      <c r="P42" s="29">
        <f>P41+O42</f>
        <v>70</v>
      </c>
      <c r="Q42" s="26">
        <f>SUM(R42:T42)</f>
        <v>35.749698336</v>
      </c>
      <c r="R42" s="34">
        <f>U42*0.18+N42*0.02</f>
        <v>31.734</v>
      </c>
      <c r="S42" s="101">
        <f>70*16.344*1.07*12/1000*0.13*0.7+N42*0.18</f>
        <v>3.4427888352</v>
      </c>
      <c r="T42" s="101">
        <f>70*16.344*1.07*12/1000*0.13*0.3</f>
        <v>0.5729095008000001</v>
      </c>
      <c r="U42" s="113">
        <f>350/2</f>
        <v>175</v>
      </c>
      <c r="V42" s="133">
        <f t="shared" si="14"/>
        <v>35</v>
      </c>
      <c r="W42" s="25"/>
      <c r="X42" s="25"/>
      <c r="Y42" s="25"/>
    </row>
    <row r="43" spans="1:25" ht="15">
      <c r="A43" s="893"/>
      <c r="B43" s="905"/>
      <c r="C43" s="893"/>
      <c r="D43" s="27">
        <v>2012</v>
      </c>
      <c r="E43" s="16">
        <f t="shared" si="18"/>
        <v>0</v>
      </c>
      <c r="F43" s="26"/>
      <c r="G43" s="26"/>
      <c r="H43" s="26"/>
      <c r="I43" s="26"/>
      <c r="J43" s="26"/>
      <c r="K43" s="16"/>
      <c r="L43" s="903"/>
      <c r="M43" s="903"/>
      <c r="N43" s="26">
        <f>39.9/2</f>
        <v>19.95</v>
      </c>
      <c r="O43" s="97">
        <v>20</v>
      </c>
      <c r="P43" s="29">
        <f>P42+O43</f>
        <v>90</v>
      </c>
      <c r="Q43" s="26">
        <f>SUM(R43:T43)</f>
        <v>51.445326432</v>
      </c>
      <c r="R43" s="34">
        <f>U43*0.18+N43*0.02</f>
        <v>45.399</v>
      </c>
      <c r="S43" s="101">
        <f>90*16.344*1.07*12/1000*0.13*0.7+N43*0.18</f>
        <v>5.3097285024</v>
      </c>
      <c r="T43" s="101">
        <f>90*16.344*1.07*12/1000*0.13*0.3</f>
        <v>0.7365979296</v>
      </c>
      <c r="U43" s="113">
        <f>500/2</f>
        <v>250</v>
      </c>
      <c r="V43" s="133">
        <f t="shared" si="14"/>
        <v>0</v>
      </c>
      <c r="W43" s="25"/>
      <c r="X43" s="25"/>
      <c r="Y43" s="25"/>
    </row>
    <row r="44" spans="1:25" ht="15">
      <c r="A44" s="893"/>
      <c r="B44" s="905"/>
      <c r="C44" s="893"/>
      <c r="D44" s="27">
        <v>2013</v>
      </c>
      <c r="E44" s="16">
        <f t="shared" si="18"/>
        <v>0</v>
      </c>
      <c r="F44" s="26"/>
      <c r="G44" s="26"/>
      <c r="H44" s="26"/>
      <c r="I44" s="26"/>
      <c r="J44" s="26"/>
      <c r="K44" s="16"/>
      <c r="L44" s="903"/>
      <c r="M44" s="903"/>
      <c r="N44" s="26">
        <f>39.9/2</f>
        <v>19.95</v>
      </c>
      <c r="O44" s="97">
        <v>10</v>
      </c>
      <c r="P44" s="29">
        <f>P43+O44</f>
        <v>100</v>
      </c>
      <c r="Q44" s="26">
        <f>SUM(R44:T44)</f>
        <v>79.262814048</v>
      </c>
      <c r="R44" s="34">
        <f>U44*0.18+N44*0.02</f>
        <v>75.399</v>
      </c>
      <c r="S44" s="101">
        <f>O44*16.344*1.07*12/1000*0.13*0.7+N44*0.18</f>
        <v>3.7819698336</v>
      </c>
      <c r="T44" s="101">
        <f>O44*16.344*1.07*12/1000*0.13*0.3</f>
        <v>0.08184421439999999</v>
      </c>
      <c r="U44" s="113">
        <f>1250/3</f>
        <v>416.6666666666667</v>
      </c>
      <c r="V44" s="133">
        <f t="shared" si="14"/>
        <v>0</v>
      </c>
      <c r="W44" s="25"/>
      <c r="X44" s="25"/>
      <c r="Y44" s="25"/>
    </row>
    <row r="45" spans="1:25" ht="15">
      <c r="A45" s="893"/>
      <c r="B45" s="905"/>
      <c r="C45" s="893"/>
      <c r="D45" s="27">
        <v>2014</v>
      </c>
      <c r="E45" s="16">
        <f t="shared" si="18"/>
        <v>0</v>
      </c>
      <c r="F45" s="26"/>
      <c r="G45" s="26"/>
      <c r="H45" s="26"/>
      <c r="I45" s="26"/>
      <c r="J45" s="26"/>
      <c r="K45" s="16"/>
      <c r="L45" s="903"/>
      <c r="M45" s="903"/>
      <c r="N45" s="26">
        <f>39.9/2</f>
        <v>19.95</v>
      </c>
      <c r="O45" s="97">
        <v>0</v>
      </c>
      <c r="P45" s="29">
        <f>P44+O45</f>
        <v>100</v>
      </c>
      <c r="Q45" s="26">
        <f>SUM(R45:T45)</f>
        <v>81.71814048</v>
      </c>
      <c r="R45" s="34">
        <f>U45*0.18+N45*0.02</f>
        <v>75.399</v>
      </c>
      <c r="S45" s="101">
        <f>100*16.344*1.07*12/1000*0.13*0.7+N45*0.18</f>
        <v>5.500698336</v>
      </c>
      <c r="T45" s="101">
        <f>100*16.344*1.07*12/1000*0.13*0.3</f>
        <v>0.8184421440000003</v>
      </c>
      <c r="U45" s="113">
        <f>1250/3</f>
        <v>416.6666666666667</v>
      </c>
      <c r="V45" s="133">
        <f t="shared" si="14"/>
        <v>0</v>
      </c>
      <c r="W45" s="25"/>
      <c r="X45" s="25"/>
      <c r="Y45" s="25"/>
    </row>
    <row r="46" spans="1:87" s="39" customFormat="1" ht="15" customHeight="1">
      <c r="A46" s="893">
        <v>5</v>
      </c>
      <c r="B46" s="905" t="s">
        <v>49</v>
      </c>
      <c r="C46" s="893" t="s">
        <v>50</v>
      </c>
      <c r="D46" s="74" t="s">
        <v>570</v>
      </c>
      <c r="E46" s="87">
        <f aca="true" t="shared" si="21" ref="E46:K46">SUM(E47:E50)</f>
        <v>1128.6</v>
      </c>
      <c r="F46" s="35">
        <f t="shared" si="21"/>
        <v>216</v>
      </c>
      <c r="G46" s="35">
        <f t="shared" si="21"/>
        <v>24</v>
      </c>
      <c r="H46" s="35">
        <f t="shared" si="21"/>
        <v>0</v>
      </c>
      <c r="I46" s="35">
        <f t="shared" si="21"/>
        <v>888.5999999999999</v>
      </c>
      <c r="J46" s="35">
        <f t="shared" si="21"/>
        <v>0</v>
      </c>
      <c r="K46" s="35">
        <f t="shared" si="21"/>
        <v>0</v>
      </c>
      <c r="L46" s="903" t="s">
        <v>792</v>
      </c>
      <c r="M46" s="903" t="s">
        <v>53</v>
      </c>
      <c r="N46" s="69">
        <f>SUM(O46:Q46)</f>
        <v>3147.1998000000003</v>
      </c>
      <c r="O46" s="69">
        <f>SUM(O47:O51)</f>
        <v>130</v>
      </c>
      <c r="P46" s="69">
        <f>SUM(Q46:S46)</f>
        <v>2008.6332</v>
      </c>
      <c r="Q46" s="69">
        <f aca="true" t="shared" si="22" ref="Q46:Q51">SUM(R46:T46)</f>
        <v>1008.5665999999999</v>
      </c>
      <c r="R46" s="69">
        <f>SUM(R47:R51)</f>
        <v>765.6999999999999</v>
      </c>
      <c r="S46" s="69">
        <f>SUM(S47:S51)</f>
        <v>234.3666</v>
      </c>
      <c r="T46" s="69">
        <f>SUM(T47:T51)</f>
        <v>8.5</v>
      </c>
      <c r="U46" s="113"/>
      <c r="V46" s="25"/>
      <c r="W46" s="25"/>
      <c r="X46" s="25"/>
      <c r="Y46" s="25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</row>
    <row r="47" spans="1:25" ht="78" customHeight="1">
      <c r="A47" s="893"/>
      <c r="B47" s="905"/>
      <c r="C47" s="893"/>
      <c r="D47" s="27">
        <v>2010</v>
      </c>
      <c r="E47" s="83">
        <f>SUM(F47:K47)</f>
        <v>1128.6</v>
      </c>
      <c r="F47" s="29">
        <f>240-24</f>
        <v>216</v>
      </c>
      <c r="G47" s="29">
        <v>24</v>
      </c>
      <c r="H47" s="29"/>
      <c r="I47" s="29">
        <f>30*29.7+8*29.7-240</f>
        <v>888.5999999999999</v>
      </c>
      <c r="J47" s="26"/>
      <c r="K47" s="16"/>
      <c r="L47" s="903"/>
      <c r="M47" s="903"/>
      <c r="N47" s="29">
        <v>247</v>
      </c>
      <c r="O47" s="29">
        <v>130</v>
      </c>
      <c r="P47" s="29"/>
      <c r="Q47" s="45">
        <f t="shared" si="22"/>
        <v>201.71331999999998</v>
      </c>
      <c r="R47" s="26">
        <f>N47/0.3*0.18+N47*0.02</f>
        <v>153.14</v>
      </c>
      <c r="S47" s="26">
        <f>N47*0.18+130*17*12/1000*0.13*0.7</f>
        <v>46.87332</v>
      </c>
      <c r="T47" s="26">
        <v>1.7</v>
      </c>
      <c r="U47" s="113"/>
      <c r="V47" s="25"/>
      <c r="W47" s="25"/>
      <c r="X47" s="25"/>
      <c r="Y47" s="25"/>
    </row>
    <row r="48" spans="1:25" ht="15" customHeight="1">
      <c r="A48" s="893"/>
      <c r="B48" s="905"/>
      <c r="C48" s="893"/>
      <c r="D48" s="27">
        <v>2011</v>
      </c>
      <c r="E48" s="16">
        <f>SUM(F48:K48)</f>
        <v>0</v>
      </c>
      <c r="F48" s="26"/>
      <c r="G48" s="26"/>
      <c r="H48" s="26"/>
      <c r="I48" s="26"/>
      <c r="J48" s="26"/>
      <c r="K48" s="16"/>
      <c r="L48" s="903"/>
      <c r="M48" s="903"/>
      <c r="N48" s="29">
        <v>247</v>
      </c>
      <c r="O48" s="29">
        <v>0</v>
      </c>
      <c r="P48" s="29"/>
      <c r="Q48" s="45">
        <f t="shared" si="22"/>
        <v>201.71331999999998</v>
      </c>
      <c r="R48" s="26">
        <f>N48/0.3*0.18+N48*0.02</f>
        <v>153.14</v>
      </c>
      <c r="S48" s="26">
        <f>N48*0.18+130*17*12/1000*0.13*0.7</f>
        <v>46.87332</v>
      </c>
      <c r="T48" s="26">
        <v>1.7</v>
      </c>
      <c r="U48" s="113"/>
      <c r="V48" s="25"/>
      <c r="W48" s="25"/>
      <c r="X48" s="25"/>
      <c r="Y48" s="25"/>
    </row>
    <row r="49" spans="1:25" ht="21.75" customHeight="1">
      <c r="A49" s="893"/>
      <c r="B49" s="905"/>
      <c r="C49" s="893"/>
      <c r="D49" s="27">
        <v>2012</v>
      </c>
      <c r="E49" s="16">
        <f>SUM(F49:K49)</f>
        <v>0</v>
      </c>
      <c r="F49" s="26"/>
      <c r="G49" s="26"/>
      <c r="H49" s="26"/>
      <c r="I49" s="26"/>
      <c r="J49" s="26"/>
      <c r="K49" s="16"/>
      <c r="L49" s="903"/>
      <c r="M49" s="903"/>
      <c r="N49" s="29">
        <v>247</v>
      </c>
      <c r="O49" s="29">
        <v>0</v>
      </c>
      <c r="P49" s="29"/>
      <c r="Q49" s="45">
        <f t="shared" si="22"/>
        <v>201.71331999999998</v>
      </c>
      <c r="R49" s="26">
        <f>N49/0.3*0.18+N49*0.02</f>
        <v>153.14</v>
      </c>
      <c r="S49" s="26">
        <f>N49*0.18+130*17*12/1000*0.13*0.7</f>
        <v>46.87332</v>
      </c>
      <c r="T49" s="26">
        <v>1.7</v>
      </c>
      <c r="U49" s="113"/>
      <c r="V49" s="25"/>
      <c r="W49" s="25"/>
      <c r="X49" s="25"/>
      <c r="Y49" s="25"/>
    </row>
    <row r="50" spans="1:25" ht="20.25" customHeight="1">
      <c r="A50" s="893"/>
      <c r="B50" s="905"/>
      <c r="C50" s="893"/>
      <c r="D50" s="27">
        <v>2013</v>
      </c>
      <c r="E50" s="16">
        <f>SUM(F50:K50)</f>
        <v>0</v>
      </c>
      <c r="F50" s="26"/>
      <c r="G50" s="26"/>
      <c r="H50" s="26"/>
      <c r="I50" s="26"/>
      <c r="J50" s="26"/>
      <c r="K50" s="16"/>
      <c r="L50" s="903"/>
      <c r="M50" s="903"/>
      <c r="N50" s="29">
        <v>247</v>
      </c>
      <c r="O50" s="29">
        <v>0</v>
      </c>
      <c r="P50" s="29"/>
      <c r="Q50" s="45">
        <f t="shared" si="22"/>
        <v>201.71331999999998</v>
      </c>
      <c r="R50" s="26">
        <f>N50/0.3*0.18+N50*0.02</f>
        <v>153.14</v>
      </c>
      <c r="S50" s="26">
        <f>N50*0.18+130*17*12/1000*0.13*0.7</f>
        <v>46.87332</v>
      </c>
      <c r="T50" s="26">
        <v>1.7</v>
      </c>
      <c r="U50" s="113"/>
      <c r="V50" s="25"/>
      <c r="W50" s="25"/>
      <c r="X50" s="25"/>
      <c r="Y50" s="25"/>
    </row>
    <row r="51" spans="1:25" ht="17.25" customHeight="1">
      <c r="A51" s="893"/>
      <c r="B51" s="905"/>
      <c r="C51" s="893"/>
      <c r="D51" s="27">
        <v>2014</v>
      </c>
      <c r="E51" s="16">
        <f>SUM(F51:K51)</f>
        <v>0</v>
      </c>
      <c r="F51" s="107"/>
      <c r="G51" s="107"/>
      <c r="H51" s="107"/>
      <c r="I51" s="107"/>
      <c r="J51" s="107"/>
      <c r="K51" s="107"/>
      <c r="L51" s="903"/>
      <c r="M51" s="903"/>
      <c r="N51" s="29">
        <v>247</v>
      </c>
      <c r="O51" s="29">
        <v>0</v>
      </c>
      <c r="P51" s="29"/>
      <c r="Q51" s="45">
        <f t="shared" si="22"/>
        <v>201.71331999999998</v>
      </c>
      <c r="R51" s="26">
        <f>N51/0.3*0.18+N51*0.02</f>
        <v>153.14</v>
      </c>
      <c r="S51" s="26">
        <f>N51*0.18+130*17*12/1000*0.13*0.7</f>
        <v>46.87332</v>
      </c>
      <c r="T51" s="26">
        <v>1.7</v>
      </c>
      <c r="U51" s="113"/>
      <c r="V51" s="25"/>
      <c r="W51" s="25"/>
      <c r="X51" s="25"/>
      <c r="Y51" s="25"/>
    </row>
    <row r="52" spans="1:25" ht="21.75" customHeight="1">
      <c r="A52" s="894" t="s">
        <v>384</v>
      </c>
      <c r="B52" s="894"/>
      <c r="C52" s="894"/>
      <c r="D52" s="894"/>
      <c r="E52" s="894"/>
      <c r="F52" s="894"/>
      <c r="G52" s="894"/>
      <c r="H52" s="894"/>
      <c r="I52" s="894"/>
      <c r="J52" s="894"/>
      <c r="K52" s="894"/>
      <c r="L52" s="894"/>
      <c r="M52" s="894"/>
      <c r="N52" s="894"/>
      <c r="O52" s="894"/>
      <c r="P52" s="894"/>
      <c r="Q52" s="894"/>
      <c r="R52" s="894"/>
      <c r="S52" s="894"/>
      <c r="T52" s="894"/>
      <c r="U52" s="113"/>
      <c r="V52" s="25"/>
      <c r="W52" s="25"/>
      <c r="X52" s="25"/>
      <c r="Y52" s="25"/>
    </row>
    <row r="53" spans="1:25" ht="20.25" customHeight="1">
      <c r="A53" s="902"/>
      <c r="B53" s="895" t="s">
        <v>646</v>
      </c>
      <c r="C53" s="895"/>
      <c r="D53" s="41">
        <v>2010</v>
      </c>
      <c r="E53" s="52">
        <f>E59+E60+E61+E62</f>
        <v>7.1</v>
      </c>
      <c r="F53" s="52">
        <f aca="true" t="shared" si="23" ref="F53:K53">F59+F60+F61+F62</f>
        <v>0</v>
      </c>
      <c r="G53" s="52">
        <f t="shared" si="23"/>
        <v>6.8</v>
      </c>
      <c r="H53" s="52">
        <f t="shared" si="23"/>
        <v>0.3</v>
      </c>
      <c r="I53" s="52">
        <f t="shared" si="23"/>
        <v>0</v>
      </c>
      <c r="J53" s="52">
        <f t="shared" si="23"/>
        <v>0</v>
      </c>
      <c r="K53" s="52">
        <f t="shared" si="23"/>
        <v>0</v>
      </c>
      <c r="L53" s="875"/>
      <c r="M53" s="875"/>
      <c r="N53" s="52">
        <f>N59+N60+N61+N62</f>
        <v>0</v>
      </c>
      <c r="O53" s="52">
        <f aca="true" t="shared" si="24" ref="O53:T53">O59+O60+O61+O62</f>
        <v>15.5</v>
      </c>
      <c r="P53" s="52">
        <f t="shared" si="24"/>
        <v>0</v>
      </c>
      <c r="Q53" s="52">
        <f t="shared" si="24"/>
        <v>0.42167502</v>
      </c>
      <c r="R53" s="52">
        <f t="shared" si="24"/>
        <v>0</v>
      </c>
      <c r="S53" s="52">
        <f t="shared" si="24"/>
        <v>0.295172514</v>
      </c>
      <c r="T53" s="52">
        <f t="shared" si="24"/>
        <v>0.126502506</v>
      </c>
      <c r="U53" s="113"/>
      <c r="V53" s="25"/>
      <c r="W53" s="25"/>
      <c r="X53" s="25"/>
      <c r="Y53" s="25"/>
    </row>
    <row r="54" spans="1:25" ht="77.25" customHeight="1">
      <c r="A54" s="902"/>
      <c r="B54" s="895"/>
      <c r="C54" s="895"/>
      <c r="D54" s="41">
        <v>2011</v>
      </c>
      <c r="E54" s="52">
        <f>E60+E61+E62+E63</f>
        <v>6.8</v>
      </c>
      <c r="F54" s="52">
        <f aca="true" t="shared" si="25" ref="F54:K54">F60+F61+F62+F63</f>
        <v>0</v>
      </c>
      <c r="G54" s="52">
        <f t="shared" si="25"/>
        <v>6.5</v>
      </c>
      <c r="H54" s="52">
        <f t="shared" si="25"/>
        <v>0.3</v>
      </c>
      <c r="I54" s="52">
        <f t="shared" si="25"/>
        <v>0</v>
      </c>
      <c r="J54" s="52">
        <f t="shared" si="25"/>
        <v>0</v>
      </c>
      <c r="K54" s="52">
        <f t="shared" si="25"/>
        <v>0</v>
      </c>
      <c r="L54" s="875"/>
      <c r="M54" s="875"/>
      <c r="N54" s="52">
        <f>N60+N61+N62+N63</f>
        <v>0</v>
      </c>
      <c r="O54" s="52">
        <f aca="true" t="shared" si="26" ref="O54:T54">O60+O61+O62+O63</f>
        <v>13.5</v>
      </c>
      <c r="P54" s="52">
        <f t="shared" si="26"/>
        <v>0</v>
      </c>
      <c r="Q54" s="52">
        <f t="shared" si="26"/>
        <v>0.36726534</v>
      </c>
      <c r="R54" s="52">
        <f t="shared" si="26"/>
        <v>0</v>
      </c>
      <c r="S54" s="52">
        <f t="shared" si="26"/>
        <v>0.257085738</v>
      </c>
      <c r="T54" s="52">
        <f t="shared" si="26"/>
        <v>0.110179602</v>
      </c>
      <c r="U54" s="113"/>
      <c r="V54" s="25"/>
      <c r="W54" s="25"/>
      <c r="X54" s="25"/>
      <c r="Y54" s="25"/>
    </row>
    <row r="55" spans="1:25" ht="20.25" customHeight="1">
      <c r="A55" s="902"/>
      <c r="B55" s="895"/>
      <c r="C55" s="895"/>
      <c r="D55" s="42">
        <v>2012</v>
      </c>
      <c r="E55" s="52">
        <v>0</v>
      </c>
      <c r="F55" s="52">
        <v>0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875"/>
      <c r="M55" s="875"/>
      <c r="N55" s="52">
        <v>0</v>
      </c>
      <c r="O55" s="52">
        <v>0</v>
      </c>
      <c r="P55" s="52">
        <v>0</v>
      </c>
      <c r="Q55" s="52">
        <v>0</v>
      </c>
      <c r="R55" s="52">
        <v>0</v>
      </c>
      <c r="S55" s="52">
        <v>0</v>
      </c>
      <c r="T55" s="52">
        <v>0</v>
      </c>
      <c r="U55" s="113"/>
      <c r="V55" s="25"/>
      <c r="W55" s="25"/>
      <c r="X55" s="25"/>
      <c r="Y55" s="25"/>
    </row>
    <row r="56" spans="1:87" s="39" customFormat="1" ht="15">
      <c r="A56" s="902"/>
      <c r="B56" s="895"/>
      <c r="C56" s="895"/>
      <c r="D56" s="42">
        <v>2013</v>
      </c>
      <c r="E56" s="52">
        <v>0</v>
      </c>
      <c r="F56" s="52">
        <v>0</v>
      </c>
      <c r="G56" s="52">
        <v>0</v>
      </c>
      <c r="H56" s="52">
        <v>0</v>
      </c>
      <c r="I56" s="52">
        <v>0</v>
      </c>
      <c r="J56" s="52">
        <v>0</v>
      </c>
      <c r="K56" s="52">
        <v>0</v>
      </c>
      <c r="L56" s="875"/>
      <c r="M56" s="875"/>
      <c r="N56" s="52">
        <v>0</v>
      </c>
      <c r="O56" s="52">
        <v>0</v>
      </c>
      <c r="P56" s="52">
        <v>0</v>
      </c>
      <c r="Q56" s="52">
        <v>0</v>
      </c>
      <c r="R56" s="52">
        <v>0</v>
      </c>
      <c r="S56" s="52">
        <v>0</v>
      </c>
      <c r="T56" s="52">
        <v>0</v>
      </c>
      <c r="U56" s="348" t="e">
        <f>#REF!+#REF!+#REF!+#REF!+#REF!+#REF!+#REF!+#REF!+#REF!+#REF!+#REF!+#REF!+U65+#REF!+#REF!+#REF!+#REF!</f>
        <v>#REF!</v>
      </c>
      <c r="V56" s="52" t="e">
        <f>#REF!+#REF!+#REF!+#REF!+#REF!+#REF!+#REF!+#REF!+#REF!+#REF!+#REF!+#REF!+V65+#REF!+#REF!+#REF!+#REF!</f>
        <v>#REF!</v>
      </c>
      <c r="W56" s="25"/>
      <c r="X56" s="25"/>
      <c r="Y56" s="25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</row>
    <row r="57" spans="1:87" s="39" customFormat="1" ht="15">
      <c r="A57" s="902"/>
      <c r="B57" s="895"/>
      <c r="C57" s="895"/>
      <c r="D57" s="42">
        <v>2014</v>
      </c>
      <c r="E57" s="52">
        <v>0</v>
      </c>
      <c r="F57" s="52">
        <v>0</v>
      </c>
      <c r="G57" s="52">
        <v>0</v>
      </c>
      <c r="H57" s="52">
        <v>0</v>
      </c>
      <c r="I57" s="52">
        <v>0</v>
      </c>
      <c r="J57" s="52">
        <v>0</v>
      </c>
      <c r="K57" s="52">
        <v>0</v>
      </c>
      <c r="L57" s="875"/>
      <c r="M57" s="875"/>
      <c r="N57" s="52">
        <v>0</v>
      </c>
      <c r="O57" s="52">
        <v>0</v>
      </c>
      <c r="P57" s="52">
        <v>0</v>
      </c>
      <c r="Q57" s="52">
        <v>0</v>
      </c>
      <c r="R57" s="52">
        <v>0</v>
      </c>
      <c r="S57" s="52">
        <v>0</v>
      </c>
      <c r="T57" s="52">
        <v>0</v>
      </c>
      <c r="U57" s="348" t="e">
        <f>#REF!+#REF!+#REF!+#REF!+#REF!+#REF!+#REF!+U60+#REF!+#REF!+#REF!+#REF!+U66+#REF!+#REF!+#REF!+#REF!</f>
        <v>#REF!</v>
      </c>
      <c r="V57" s="52" t="e">
        <f>#REF!+#REF!+#REF!+#REF!+#REF!+#REF!+#REF!+V60+#REF!+#REF!+#REF!+#REF!+V66+#REF!+#REF!+#REF!+#REF!</f>
        <v>#REF!</v>
      </c>
      <c r="W57" s="25"/>
      <c r="X57" s="25"/>
      <c r="Y57" s="25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</row>
    <row r="58" spans="1:87" s="39" customFormat="1" ht="15">
      <c r="A58" s="902"/>
      <c r="B58" s="895"/>
      <c r="C58" s="895"/>
      <c r="D58" s="41" t="s">
        <v>378</v>
      </c>
      <c r="E58" s="52">
        <f>SUM(E53:E57)</f>
        <v>13.899999999999999</v>
      </c>
      <c r="F58" s="52">
        <f aca="true" t="shared" si="27" ref="F58:K58">SUM(F53:F57)</f>
        <v>0</v>
      </c>
      <c r="G58" s="52">
        <f t="shared" si="27"/>
        <v>13.3</v>
      </c>
      <c r="H58" s="52">
        <f t="shared" si="27"/>
        <v>0.6</v>
      </c>
      <c r="I58" s="52">
        <f t="shared" si="27"/>
        <v>0</v>
      </c>
      <c r="J58" s="52">
        <f t="shared" si="27"/>
        <v>0</v>
      </c>
      <c r="K58" s="52">
        <f t="shared" si="27"/>
        <v>0</v>
      </c>
      <c r="L58" s="875"/>
      <c r="M58" s="875"/>
      <c r="N58" s="52">
        <f aca="true" t="shared" si="28" ref="N58:T58">SUM(N53:N57)</f>
        <v>0</v>
      </c>
      <c r="O58" s="82">
        <f t="shared" si="28"/>
        <v>29</v>
      </c>
      <c r="P58" s="52">
        <f t="shared" si="28"/>
        <v>0</v>
      </c>
      <c r="Q58" s="52">
        <f t="shared" si="28"/>
        <v>0.78894036</v>
      </c>
      <c r="R58" s="52">
        <f t="shared" si="28"/>
        <v>0</v>
      </c>
      <c r="S58" s="52">
        <f t="shared" si="28"/>
        <v>0.552258252</v>
      </c>
      <c r="T58" s="52">
        <f t="shared" si="28"/>
        <v>0.236682108</v>
      </c>
      <c r="U58" s="348" t="e">
        <f>#REF!+#REF!+#REF!+#REF!+#REF!+#REF!+#REF!+U61+#REF!+#REF!+#REF!+#REF!+U67+#REF!+#REF!+#REF!+#REF!</f>
        <v>#REF!</v>
      </c>
      <c r="V58" s="52" t="e">
        <f>#REF!+#REF!+#REF!+#REF!+#REF!+#REF!+#REF!+V61+#REF!+#REF!+#REF!+#REF!+V67+#REF!+#REF!+#REF!+#REF!</f>
        <v>#REF!</v>
      </c>
      <c r="W58" s="25"/>
      <c r="X58" s="25"/>
      <c r="Y58" s="25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</row>
    <row r="59" spans="1:87" s="39" customFormat="1" ht="63.75" customHeight="1">
      <c r="A59" s="6">
        <f>A46+1</f>
        <v>6</v>
      </c>
      <c r="B59" s="75" t="s">
        <v>155</v>
      </c>
      <c r="C59" s="893" t="s">
        <v>472</v>
      </c>
      <c r="D59" s="13">
        <v>2010</v>
      </c>
      <c r="E59" s="46">
        <f>SUM(F59:K59)</f>
        <v>0.3</v>
      </c>
      <c r="F59" s="46"/>
      <c r="G59" s="46">
        <v>0.3</v>
      </c>
      <c r="H59" s="46"/>
      <c r="I59" s="46"/>
      <c r="J59" s="46"/>
      <c r="K59" s="46"/>
      <c r="L59" s="16"/>
      <c r="M59" s="16"/>
      <c r="N59" s="16"/>
      <c r="O59" s="83">
        <v>2</v>
      </c>
      <c r="P59" s="83"/>
      <c r="Q59" s="16">
        <f>SUM(R59:T59)</f>
        <v>0.054409679999999995</v>
      </c>
      <c r="R59" s="16"/>
      <c r="S59" s="254">
        <f>O59*17439*12/1000000*0.13*0.7</f>
        <v>0.038086775999999996</v>
      </c>
      <c r="T59" s="254">
        <f>O59*17439*12/1000000*0.13*0.3</f>
        <v>0.016322904</v>
      </c>
      <c r="U59" s="348" t="e">
        <f>#REF!+#REF!+#REF!+#REF!+#REF!+#REF!+#REF!+U62+#REF!+#REF!+#REF!+#REF!+U68+#REF!+#REF!+#REF!+#REF!</f>
        <v>#REF!</v>
      </c>
      <c r="V59" s="52" t="e">
        <f>#REF!+#REF!+#REF!+#REF!+#REF!+#REF!+#REF!+V62+#REF!+#REF!+#REF!+#REF!+V68+#REF!+#REF!+#REF!+#REF!</f>
        <v>#REF!</v>
      </c>
      <c r="W59" s="25"/>
      <c r="X59" s="25"/>
      <c r="Y59" s="25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</row>
    <row r="60" spans="1:25" ht="15">
      <c r="A60" s="6">
        <v>7</v>
      </c>
      <c r="B60" s="75" t="s">
        <v>156</v>
      </c>
      <c r="C60" s="893"/>
      <c r="D60" s="13">
        <v>2010</v>
      </c>
      <c r="E60" s="46">
        <f>SUM(F60:K60)</f>
        <v>2.8</v>
      </c>
      <c r="F60" s="46"/>
      <c r="G60" s="46">
        <v>2.5</v>
      </c>
      <c r="H60" s="46">
        <v>0.3</v>
      </c>
      <c r="I60" s="46"/>
      <c r="J60" s="46"/>
      <c r="K60" s="46"/>
      <c r="L60" s="16"/>
      <c r="M60" s="16"/>
      <c r="N60" s="16"/>
      <c r="O60" s="83">
        <v>7.5</v>
      </c>
      <c r="P60" s="83"/>
      <c r="Q60" s="16">
        <f>SUM(R60:T60)</f>
        <v>0.20403629999999998</v>
      </c>
      <c r="R60" s="16"/>
      <c r="S60" s="16">
        <f>O60*17439*12/1000000*0.13*0.7</f>
        <v>0.14282540999999999</v>
      </c>
      <c r="T60" s="16">
        <f>O60*17439*12/1000000*0.13*0.3</f>
        <v>0.06121089</v>
      </c>
      <c r="U60" s="119">
        <v>100.5</v>
      </c>
      <c r="V60" s="133">
        <f>E60*0.7</f>
        <v>1.9599999999999997</v>
      </c>
      <c r="W60" s="25"/>
      <c r="X60" s="25"/>
      <c r="Y60" s="25"/>
    </row>
    <row r="61" spans="1:25" ht="76.5">
      <c r="A61" s="12">
        <f>A60+1</f>
        <v>8</v>
      </c>
      <c r="B61" s="75" t="s">
        <v>157</v>
      </c>
      <c r="C61" s="893"/>
      <c r="D61" s="13">
        <v>2010</v>
      </c>
      <c r="E61" s="46">
        <f>SUM(F61:K61)</f>
        <v>4</v>
      </c>
      <c r="F61" s="46"/>
      <c r="G61" s="46">
        <v>4</v>
      </c>
      <c r="H61" s="46"/>
      <c r="I61" s="46"/>
      <c r="J61" s="46"/>
      <c r="K61" s="46"/>
      <c r="L61" s="16"/>
      <c r="M61" s="16"/>
      <c r="N61" s="16"/>
      <c r="O61" s="83">
        <v>6</v>
      </c>
      <c r="P61" s="83"/>
      <c r="Q61" s="16">
        <f>SUM(R61:T61)</f>
        <v>0.16322904000000002</v>
      </c>
      <c r="R61" s="16"/>
      <c r="S61" s="16">
        <f>O61*17439*12/1000000*0.13*0.7</f>
        <v>0.11426032800000001</v>
      </c>
      <c r="T61" s="254">
        <f>O61*17439*12/1000000*0.13*0.3</f>
        <v>0.048968712000000005</v>
      </c>
      <c r="U61" s="118">
        <v>115</v>
      </c>
      <c r="V61" s="133">
        <f>E61*0.7</f>
        <v>2.8</v>
      </c>
      <c r="W61" s="25"/>
      <c r="X61" s="25"/>
      <c r="Y61" s="25"/>
    </row>
    <row r="62" spans="1:25" ht="38.25">
      <c r="A62" s="6">
        <f>A61+1</f>
        <v>9</v>
      </c>
      <c r="B62" s="75" t="s">
        <v>158</v>
      </c>
      <c r="C62" s="893"/>
      <c r="D62" s="13" t="s">
        <v>545</v>
      </c>
      <c r="E62" s="46">
        <f>SUM(F62:K62)</f>
        <v>0</v>
      </c>
      <c r="F62" s="46"/>
      <c r="G62" s="46"/>
      <c r="H62" s="46"/>
      <c r="I62" s="46"/>
      <c r="J62" s="46"/>
      <c r="K62" s="46"/>
      <c r="L62" s="16"/>
      <c r="M62" s="16"/>
      <c r="N62" s="16"/>
      <c r="O62" s="83"/>
      <c r="P62" s="83"/>
      <c r="Q62" s="16"/>
      <c r="R62" s="16"/>
      <c r="S62" s="16"/>
      <c r="T62" s="16"/>
      <c r="U62" s="118">
        <v>115</v>
      </c>
      <c r="V62" s="133">
        <f>E62*0.7</f>
        <v>0</v>
      </c>
      <c r="W62" s="25"/>
      <c r="X62" s="25"/>
      <c r="Y62" s="25"/>
    </row>
    <row r="63" spans="1:87" ht="15.75">
      <c r="A63" s="894" t="s">
        <v>659</v>
      </c>
      <c r="B63" s="894"/>
      <c r="C63" s="894"/>
      <c r="D63" s="894"/>
      <c r="E63" s="894"/>
      <c r="F63" s="894"/>
      <c r="G63" s="894"/>
      <c r="H63" s="894"/>
      <c r="I63" s="894"/>
      <c r="J63" s="894"/>
      <c r="K63" s="894"/>
      <c r="L63" s="894"/>
      <c r="M63" s="894"/>
      <c r="N63" s="894"/>
      <c r="O63" s="894"/>
      <c r="P63" s="894"/>
      <c r="Q63" s="894"/>
      <c r="R63" s="894"/>
      <c r="S63" s="894"/>
      <c r="T63" s="894"/>
      <c r="U63" s="117">
        <f>(S63-(60*17*12/1000*0.13*0.7))/0.18/0.3</f>
        <v>-20.626666666666665</v>
      </c>
      <c r="V63" s="133">
        <f>E63*0.7</f>
        <v>0</v>
      </c>
      <c r="W63" s="20"/>
      <c r="X63" s="20"/>
      <c r="Y63" s="20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</row>
    <row r="64" spans="1:25" ht="15" customHeight="1">
      <c r="A64" s="902"/>
      <c r="B64" s="895" t="s">
        <v>646</v>
      </c>
      <c r="C64" s="895"/>
      <c r="D64" s="41">
        <v>2010</v>
      </c>
      <c r="E64" s="52">
        <f>E78+E84+E90+E96</f>
        <v>77.9</v>
      </c>
      <c r="F64" s="52">
        <f aca="true" t="shared" si="29" ref="F64:K64">F78+F84+F90+F96</f>
        <v>0</v>
      </c>
      <c r="G64" s="52">
        <f t="shared" si="29"/>
        <v>0</v>
      </c>
      <c r="H64" s="52">
        <f t="shared" si="29"/>
        <v>0</v>
      </c>
      <c r="I64" s="52">
        <f t="shared" si="29"/>
        <v>0.2</v>
      </c>
      <c r="J64" s="52">
        <f t="shared" si="29"/>
        <v>77.7</v>
      </c>
      <c r="K64" s="52">
        <f t="shared" si="29"/>
        <v>0</v>
      </c>
      <c r="L64" s="875"/>
      <c r="M64" s="875"/>
      <c r="N64" s="52">
        <f>N78+N84+N90+N96</f>
        <v>143.4</v>
      </c>
      <c r="O64" s="52">
        <f aca="true" t="shared" si="30" ref="O64:T64">O78+O84+O90+O96</f>
        <v>213</v>
      </c>
      <c r="P64" s="52">
        <f t="shared" si="30"/>
        <v>213</v>
      </c>
      <c r="Q64" s="52">
        <f t="shared" si="30"/>
        <v>84.12464</v>
      </c>
      <c r="R64" s="52">
        <f t="shared" si="30"/>
        <v>52.7</v>
      </c>
      <c r="S64" s="52">
        <f t="shared" si="30"/>
        <v>28.423552</v>
      </c>
      <c r="T64" s="52">
        <f t="shared" si="30"/>
        <v>3.0010879999999998</v>
      </c>
      <c r="U64" s="349">
        <f>SUM(U65:U69)</f>
        <v>23.14684</v>
      </c>
      <c r="V64" s="112">
        <f>SUM(V65:V69)</f>
        <v>838.3899999999999</v>
      </c>
      <c r="W64" s="25"/>
      <c r="X64" s="25"/>
      <c r="Y64" s="25"/>
    </row>
    <row r="65" spans="1:25" ht="15">
      <c r="A65" s="902"/>
      <c r="B65" s="895"/>
      <c r="C65" s="895"/>
      <c r="D65" s="41">
        <v>2011</v>
      </c>
      <c r="E65" s="52">
        <f aca="true" t="shared" si="31" ref="E65:K68">E79+E85+E91+E97</f>
        <v>559.9</v>
      </c>
      <c r="F65" s="52">
        <f t="shared" si="31"/>
        <v>0</v>
      </c>
      <c r="G65" s="52">
        <f t="shared" si="31"/>
        <v>0</v>
      </c>
      <c r="H65" s="52">
        <f t="shared" si="31"/>
        <v>0</v>
      </c>
      <c r="I65" s="52">
        <f t="shared" si="31"/>
        <v>22.6</v>
      </c>
      <c r="J65" s="52">
        <f t="shared" si="31"/>
        <v>537.3</v>
      </c>
      <c r="K65" s="52">
        <f t="shared" si="31"/>
        <v>0</v>
      </c>
      <c r="L65" s="875"/>
      <c r="M65" s="875"/>
      <c r="N65" s="52">
        <f aca="true" t="shared" si="32" ref="N65:T68">N79+N85+N91+N97</f>
        <v>143.4</v>
      </c>
      <c r="O65" s="52">
        <f t="shared" si="32"/>
        <v>68</v>
      </c>
      <c r="P65" s="52">
        <f t="shared" si="32"/>
        <v>281</v>
      </c>
      <c r="Q65" s="52">
        <f t="shared" si="32"/>
        <v>85.15272</v>
      </c>
      <c r="R65" s="52">
        <f t="shared" si="32"/>
        <v>52.7</v>
      </c>
      <c r="S65" s="52">
        <f t="shared" si="32"/>
        <v>29.438996</v>
      </c>
      <c r="T65" s="52">
        <f t="shared" si="32"/>
        <v>3.013724</v>
      </c>
      <c r="U65" s="113"/>
      <c r="V65" s="133">
        <f>E65*0.7</f>
        <v>391.92999999999995</v>
      </c>
      <c r="W65" s="25"/>
      <c r="X65" s="25"/>
      <c r="Y65" s="25"/>
    </row>
    <row r="66" spans="1:25" ht="15">
      <c r="A66" s="902"/>
      <c r="B66" s="895"/>
      <c r="C66" s="895"/>
      <c r="D66" s="42">
        <v>2012</v>
      </c>
      <c r="E66" s="52">
        <f t="shared" si="31"/>
        <v>0</v>
      </c>
      <c r="F66" s="52">
        <f t="shared" si="31"/>
        <v>0</v>
      </c>
      <c r="G66" s="52">
        <f t="shared" si="31"/>
        <v>0</v>
      </c>
      <c r="H66" s="52">
        <f t="shared" si="31"/>
        <v>0</v>
      </c>
      <c r="I66" s="52">
        <f t="shared" si="31"/>
        <v>0</v>
      </c>
      <c r="J66" s="52">
        <f t="shared" si="31"/>
        <v>0</v>
      </c>
      <c r="K66" s="52">
        <f t="shared" si="31"/>
        <v>0</v>
      </c>
      <c r="L66" s="875"/>
      <c r="M66" s="875"/>
      <c r="N66" s="52">
        <f t="shared" si="32"/>
        <v>143.4</v>
      </c>
      <c r="O66" s="52">
        <f t="shared" si="32"/>
        <v>0</v>
      </c>
      <c r="P66" s="52">
        <f t="shared" si="32"/>
        <v>281</v>
      </c>
      <c r="Q66" s="52">
        <f t="shared" si="32"/>
        <v>84.9</v>
      </c>
      <c r="R66" s="52">
        <f t="shared" si="32"/>
        <v>52.7</v>
      </c>
      <c r="S66" s="52">
        <f t="shared" si="32"/>
        <v>29.3</v>
      </c>
      <c r="T66" s="52">
        <f t="shared" si="32"/>
        <v>2.9</v>
      </c>
      <c r="U66" s="113">
        <v>1.04171</v>
      </c>
      <c r="V66" s="133">
        <f>E66*0.7</f>
        <v>0</v>
      </c>
      <c r="W66" s="25"/>
      <c r="X66" s="25"/>
      <c r="Y66" s="25"/>
    </row>
    <row r="67" spans="1:25" ht="15">
      <c r="A67" s="902"/>
      <c r="B67" s="895"/>
      <c r="C67" s="895"/>
      <c r="D67" s="42">
        <v>2013</v>
      </c>
      <c r="E67" s="52">
        <f t="shared" si="31"/>
        <v>0</v>
      </c>
      <c r="F67" s="52">
        <f t="shared" si="31"/>
        <v>0</v>
      </c>
      <c r="G67" s="52">
        <f t="shared" si="31"/>
        <v>0</v>
      </c>
      <c r="H67" s="52">
        <f t="shared" si="31"/>
        <v>0</v>
      </c>
      <c r="I67" s="52">
        <f t="shared" si="31"/>
        <v>0</v>
      </c>
      <c r="J67" s="52">
        <f t="shared" si="31"/>
        <v>0</v>
      </c>
      <c r="K67" s="52">
        <f t="shared" si="31"/>
        <v>0</v>
      </c>
      <c r="L67" s="875"/>
      <c r="M67" s="875"/>
      <c r="N67" s="52">
        <f t="shared" si="32"/>
        <v>143.4</v>
      </c>
      <c r="O67" s="52">
        <f t="shared" si="32"/>
        <v>0</v>
      </c>
      <c r="P67" s="52">
        <f t="shared" si="32"/>
        <v>281</v>
      </c>
      <c r="Q67" s="52">
        <f t="shared" si="32"/>
        <v>84.9</v>
      </c>
      <c r="R67" s="52">
        <f t="shared" si="32"/>
        <v>52.7</v>
      </c>
      <c r="S67" s="52">
        <f t="shared" si="32"/>
        <v>29.3</v>
      </c>
      <c r="T67" s="52">
        <f t="shared" si="32"/>
        <v>2.9</v>
      </c>
      <c r="U67" s="113">
        <v>3.96171</v>
      </c>
      <c r="V67" s="133">
        <f>E67*0.7</f>
        <v>0</v>
      </c>
      <c r="W67" s="25"/>
      <c r="X67" s="25"/>
      <c r="Y67" s="25"/>
    </row>
    <row r="68" spans="1:25" ht="15">
      <c r="A68" s="902"/>
      <c r="B68" s="895"/>
      <c r="C68" s="895"/>
      <c r="D68" s="42">
        <v>2014</v>
      </c>
      <c r="E68" s="52">
        <f t="shared" si="31"/>
        <v>0</v>
      </c>
      <c r="F68" s="52">
        <f t="shared" si="31"/>
        <v>0</v>
      </c>
      <c r="G68" s="52">
        <f t="shared" si="31"/>
        <v>0</v>
      </c>
      <c r="H68" s="52">
        <f t="shared" si="31"/>
        <v>0</v>
      </c>
      <c r="I68" s="52">
        <f t="shared" si="31"/>
        <v>0</v>
      </c>
      <c r="J68" s="52">
        <f t="shared" si="31"/>
        <v>0</v>
      </c>
      <c r="K68" s="52">
        <f t="shared" si="31"/>
        <v>0</v>
      </c>
      <c r="L68" s="875"/>
      <c r="M68" s="875"/>
      <c r="N68" s="52">
        <f t="shared" si="32"/>
        <v>143.4</v>
      </c>
      <c r="O68" s="52">
        <f t="shared" si="32"/>
        <v>0</v>
      </c>
      <c r="P68" s="52">
        <f t="shared" si="32"/>
        <v>281</v>
      </c>
      <c r="Q68" s="52">
        <f t="shared" si="32"/>
        <v>84.9</v>
      </c>
      <c r="R68" s="52">
        <f t="shared" si="32"/>
        <v>52.7</v>
      </c>
      <c r="S68" s="52">
        <f t="shared" si="32"/>
        <v>29.3</v>
      </c>
      <c r="T68" s="52">
        <f t="shared" si="32"/>
        <v>2.9</v>
      </c>
      <c r="U68" s="113">
        <v>7.24671</v>
      </c>
      <c r="V68" s="133">
        <f>E68*0.7</f>
        <v>0</v>
      </c>
      <c r="W68" s="25"/>
      <c r="X68" s="25"/>
      <c r="Y68" s="25"/>
    </row>
    <row r="69" spans="1:25" ht="37.5" customHeight="1">
      <c r="A69" s="902"/>
      <c r="B69" s="895"/>
      <c r="C69" s="895"/>
      <c r="D69" s="41" t="s">
        <v>378</v>
      </c>
      <c r="E69" s="52">
        <f aca="true" t="shared" si="33" ref="E69:K69">SUM(E64:E68)</f>
        <v>637.8</v>
      </c>
      <c r="F69" s="52">
        <f t="shared" si="33"/>
        <v>0</v>
      </c>
      <c r="G69" s="52">
        <f t="shared" si="33"/>
        <v>0</v>
      </c>
      <c r="H69" s="52">
        <f t="shared" si="33"/>
        <v>0</v>
      </c>
      <c r="I69" s="52">
        <f t="shared" si="33"/>
        <v>22.8</v>
      </c>
      <c r="J69" s="52">
        <f t="shared" si="33"/>
        <v>615</v>
      </c>
      <c r="K69" s="52">
        <f t="shared" si="33"/>
        <v>0</v>
      </c>
      <c r="L69" s="875"/>
      <c r="M69" s="875"/>
      <c r="N69" s="52">
        <f aca="true" t="shared" si="34" ref="N69:T69">SUM(N64:N68)</f>
        <v>717</v>
      </c>
      <c r="O69" s="82">
        <f t="shared" si="34"/>
        <v>281</v>
      </c>
      <c r="P69" s="52">
        <f t="shared" si="34"/>
        <v>1337</v>
      </c>
      <c r="Q69" s="52">
        <f t="shared" si="34"/>
        <v>423.97736</v>
      </c>
      <c r="R69" s="52">
        <f t="shared" si="34"/>
        <v>263.5</v>
      </c>
      <c r="S69" s="52">
        <f t="shared" si="34"/>
        <v>145.762548</v>
      </c>
      <c r="T69" s="52">
        <f t="shared" si="34"/>
        <v>14.714812</v>
      </c>
      <c r="U69" s="113">
        <v>10.89671</v>
      </c>
      <c r="V69" s="133">
        <f>E69*0.7</f>
        <v>446.4599999999999</v>
      </c>
      <c r="W69" s="25"/>
      <c r="X69" s="25"/>
      <c r="Y69" s="25"/>
    </row>
    <row r="70" spans="1:25" ht="12.75" customHeight="1">
      <c r="A70" s="909" t="s">
        <v>82</v>
      </c>
      <c r="B70" s="900" t="s">
        <v>576</v>
      </c>
      <c r="C70" s="904" t="s">
        <v>452</v>
      </c>
      <c r="D70" s="74" t="s">
        <v>445</v>
      </c>
      <c r="E70" s="77">
        <f aca="true" t="shared" si="35" ref="E70:K70">SUM(E71:E75)</f>
        <v>73.3</v>
      </c>
      <c r="F70" s="77">
        <f t="shared" si="35"/>
        <v>0</v>
      </c>
      <c r="G70" s="77">
        <f t="shared" si="35"/>
        <v>0</v>
      </c>
      <c r="H70" s="77">
        <f t="shared" si="35"/>
        <v>0</v>
      </c>
      <c r="I70" s="77">
        <f t="shared" si="35"/>
        <v>18.3</v>
      </c>
      <c r="J70" s="77">
        <f t="shared" si="35"/>
        <v>55</v>
      </c>
      <c r="K70" s="77">
        <f t="shared" si="35"/>
        <v>0</v>
      </c>
      <c r="L70" s="903" t="s">
        <v>792</v>
      </c>
      <c r="M70" s="903" t="s">
        <v>460</v>
      </c>
      <c r="N70" s="26">
        <f>SUM(N71:N75)</f>
        <v>307</v>
      </c>
      <c r="O70" s="29">
        <f>SUM(O71:O75)</f>
        <v>10</v>
      </c>
      <c r="P70" s="29"/>
      <c r="Q70" s="26">
        <f aca="true" t="shared" si="36" ref="Q70:Q75">SUM(R70:T70)</f>
        <v>125.5</v>
      </c>
      <c r="R70" s="26">
        <f>SUM(R71:R75)</f>
        <v>43.5</v>
      </c>
      <c r="S70" s="26">
        <f>SUM(S71:S75)</f>
        <v>70</v>
      </c>
      <c r="T70" s="26">
        <f>SUM(T71:T75)</f>
        <v>12</v>
      </c>
      <c r="U70" s="113"/>
      <c r="V70" s="120" t="e">
        <f>SUM(#REF!)</f>
        <v>#REF!</v>
      </c>
      <c r="W70" s="25"/>
      <c r="X70" s="25"/>
      <c r="Y70" s="25"/>
    </row>
    <row r="71" spans="1:25" ht="54" customHeight="1">
      <c r="A71" s="909"/>
      <c r="B71" s="900"/>
      <c r="C71" s="904"/>
      <c r="D71" s="27">
        <v>2010</v>
      </c>
      <c r="E71" s="26">
        <f>SUM(F71:K71)</f>
        <v>42.1</v>
      </c>
      <c r="F71" s="26"/>
      <c r="G71" s="26"/>
      <c r="H71" s="26"/>
      <c r="I71" s="26">
        <v>8.5</v>
      </c>
      <c r="J71" s="26">
        <v>33.6</v>
      </c>
      <c r="K71" s="53"/>
      <c r="L71" s="903"/>
      <c r="M71" s="903"/>
      <c r="N71" s="26">
        <v>61.4</v>
      </c>
      <c r="O71" s="29">
        <v>10</v>
      </c>
      <c r="P71" s="29">
        <f>O71</f>
        <v>10</v>
      </c>
      <c r="Q71" s="26">
        <f t="shared" si="36"/>
        <v>25.099999999999998</v>
      </c>
      <c r="R71" s="26">
        <v>8.7</v>
      </c>
      <c r="S71" s="26">
        <v>14</v>
      </c>
      <c r="T71" s="26">
        <v>2.4</v>
      </c>
      <c r="U71" s="113"/>
      <c r="V71" s="133">
        <f>E71*0.7</f>
        <v>29.47</v>
      </c>
      <c r="W71" s="25"/>
      <c r="X71" s="25"/>
      <c r="Y71" s="25"/>
    </row>
    <row r="72" spans="1:25" ht="30" customHeight="1">
      <c r="A72" s="909"/>
      <c r="B72" s="900"/>
      <c r="C72" s="904"/>
      <c r="D72" s="27">
        <v>2011</v>
      </c>
      <c r="E72" s="26">
        <f>SUM(F72:K72)</f>
        <v>31.2</v>
      </c>
      <c r="F72" s="26"/>
      <c r="G72" s="26"/>
      <c r="H72" s="26"/>
      <c r="I72" s="26">
        <v>9.8</v>
      </c>
      <c r="J72" s="26">
        <v>21.4</v>
      </c>
      <c r="K72" s="53"/>
      <c r="L72" s="903"/>
      <c r="M72" s="903"/>
      <c r="N72" s="26">
        <v>61.4</v>
      </c>
      <c r="O72" s="29">
        <v>0</v>
      </c>
      <c r="P72" s="29">
        <f>P71+O72</f>
        <v>10</v>
      </c>
      <c r="Q72" s="26">
        <f t="shared" si="36"/>
        <v>25.099999999999998</v>
      </c>
      <c r="R72" s="26">
        <v>8.7</v>
      </c>
      <c r="S72" s="26">
        <v>14</v>
      </c>
      <c r="T72" s="26">
        <v>2.4</v>
      </c>
      <c r="U72" s="113"/>
      <c r="V72" s="25"/>
      <c r="W72" s="25"/>
      <c r="X72" s="25"/>
      <c r="Y72" s="25"/>
    </row>
    <row r="73" spans="1:25" ht="21.75" customHeight="1">
      <c r="A73" s="909"/>
      <c r="B73" s="900"/>
      <c r="C73" s="904"/>
      <c r="D73" s="27">
        <v>2012</v>
      </c>
      <c r="E73" s="26">
        <f>SUM(F73:K73)</f>
        <v>0</v>
      </c>
      <c r="F73" s="26"/>
      <c r="G73" s="26"/>
      <c r="H73" s="26"/>
      <c r="I73" s="26"/>
      <c r="J73" s="26"/>
      <c r="K73" s="53"/>
      <c r="L73" s="903"/>
      <c r="M73" s="903"/>
      <c r="N73" s="26">
        <v>61.4</v>
      </c>
      <c r="O73" s="29">
        <v>0</v>
      </c>
      <c r="P73" s="29">
        <f>P72+O73</f>
        <v>10</v>
      </c>
      <c r="Q73" s="26">
        <f t="shared" si="36"/>
        <v>25.099999999999998</v>
      </c>
      <c r="R73" s="26">
        <v>8.7</v>
      </c>
      <c r="S73" s="26">
        <v>14</v>
      </c>
      <c r="T73" s="26">
        <v>2.4</v>
      </c>
      <c r="U73" s="113"/>
      <c r="V73" s="120" t="e">
        <f>#REF!+#REF!+#REF!</f>
        <v>#REF!</v>
      </c>
      <c r="W73" s="25"/>
      <c r="X73" s="25"/>
      <c r="Y73" s="25"/>
    </row>
    <row r="74" spans="1:25" ht="18.75" customHeight="1">
      <c r="A74" s="909"/>
      <c r="B74" s="900"/>
      <c r="C74" s="904"/>
      <c r="D74" s="27">
        <v>2013</v>
      </c>
      <c r="E74" s="26">
        <f>SUM(F74:K74)</f>
        <v>0</v>
      </c>
      <c r="F74" s="26"/>
      <c r="G74" s="26"/>
      <c r="H74" s="26"/>
      <c r="I74" s="26"/>
      <c r="J74" s="26"/>
      <c r="K74" s="53"/>
      <c r="L74" s="903"/>
      <c r="M74" s="903"/>
      <c r="N74" s="26">
        <v>61.4</v>
      </c>
      <c r="O74" s="29">
        <v>0</v>
      </c>
      <c r="P74" s="29">
        <f>P73+O74</f>
        <v>10</v>
      </c>
      <c r="Q74" s="26">
        <f t="shared" si="36"/>
        <v>25.099999999999998</v>
      </c>
      <c r="R74" s="26">
        <v>8.7</v>
      </c>
      <c r="S74" s="26">
        <v>14</v>
      </c>
      <c r="T74" s="26">
        <v>2.4</v>
      </c>
      <c r="U74" s="113"/>
      <c r="V74" s="120" t="e">
        <f>#REF!+#REF!+#REF!</f>
        <v>#REF!</v>
      </c>
      <c r="W74" s="25"/>
      <c r="X74" s="25"/>
      <c r="Y74" s="25"/>
    </row>
    <row r="75" spans="1:25" ht="17.25" customHeight="1">
      <c r="A75" s="909"/>
      <c r="B75" s="900"/>
      <c r="C75" s="904"/>
      <c r="D75" s="27">
        <v>2014</v>
      </c>
      <c r="E75" s="26">
        <f>SUM(F75:K75)</f>
        <v>0</v>
      </c>
      <c r="F75" s="26"/>
      <c r="G75" s="26"/>
      <c r="H75" s="26"/>
      <c r="I75" s="26"/>
      <c r="J75" s="26"/>
      <c r="K75" s="53"/>
      <c r="L75" s="903"/>
      <c r="M75" s="903"/>
      <c r="N75" s="26">
        <v>61.4</v>
      </c>
      <c r="O75" s="29">
        <v>0</v>
      </c>
      <c r="P75" s="29">
        <f>P74+O75</f>
        <v>10</v>
      </c>
      <c r="Q75" s="26">
        <f t="shared" si="36"/>
        <v>25.099999999999998</v>
      </c>
      <c r="R75" s="26">
        <v>8.7</v>
      </c>
      <c r="S75" s="26">
        <v>14</v>
      </c>
      <c r="T75" s="26">
        <v>2.4</v>
      </c>
      <c r="U75" s="113"/>
      <c r="V75" s="120" t="e">
        <f>#REF!+#REF!+#REF!</f>
        <v>#REF!</v>
      </c>
      <c r="W75" s="25"/>
      <c r="X75" s="25"/>
      <c r="Y75" s="25"/>
    </row>
    <row r="76" spans="1:25" ht="15">
      <c r="A76" s="906" t="s">
        <v>161</v>
      </c>
      <c r="B76" s="907"/>
      <c r="C76" s="907"/>
      <c r="D76" s="907"/>
      <c r="E76" s="907"/>
      <c r="F76" s="907"/>
      <c r="G76" s="907"/>
      <c r="H76" s="907"/>
      <c r="I76" s="907"/>
      <c r="J76" s="907"/>
      <c r="K76" s="907"/>
      <c r="L76" s="907"/>
      <c r="M76" s="907"/>
      <c r="N76" s="907"/>
      <c r="O76" s="907"/>
      <c r="P76" s="907"/>
      <c r="Q76" s="907"/>
      <c r="R76" s="907"/>
      <c r="S76" s="907"/>
      <c r="T76" s="908"/>
      <c r="V76" s="120" t="e">
        <f>#REF!+#REF!+#REF!+#REF!+#REF!+#REF!+#REF!</f>
        <v>#REF!</v>
      </c>
      <c r="W76" s="25"/>
      <c r="X76" s="25"/>
      <c r="Y76" s="25"/>
    </row>
    <row r="77" spans="1:25" ht="15" customHeight="1">
      <c r="A77" s="897">
        <v>11</v>
      </c>
      <c r="B77" s="905" t="s">
        <v>571</v>
      </c>
      <c r="C77" s="904" t="s">
        <v>536</v>
      </c>
      <c r="D77" s="74" t="s">
        <v>445</v>
      </c>
      <c r="E77" s="77">
        <f aca="true" t="shared" si="37" ref="E77:K77">SUM(E78:E82)</f>
        <v>72.6</v>
      </c>
      <c r="F77" s="77">
        <f t="shared" si="37"/>
        <v>0</v>
      </c>
      <c r="G77" s="77">
        <f t="shared" si="37"/>
        <v>0</v>
      </c>
      <c r="H77" s="77">
        <f t="shared" si="37"/>
        <v>0</v>
      </c>
      <c r="I77" s="77">
        <f t="shared" si="37"/>
        <v>22.6</v>
      </c>
      <c r="J77" s="77">
        <f t="shared" si="37"/>
        <v>50</v>
      </c>
      <c r="K77" s="77">
        <f t="shared" si="37"/>
        <v>0</v>
      </c>
      <c r="L77" s="903" t="s">
        <v>792</v>
      </c>
      <c r="M77" s="903" t="s">
        <v>537</v>
      </c>
      <c r="N77" s="903" t="s">
        <v>538</v>
      </c>
      <c r="O77" s="29">
        <f>SUM(O78:O79)</f>
        <v>70</v>
      </c>
      <c r="P77" s="29"/>
      <c r="Q77" s="26">
        <f>SUM(R77:T77)</f>
        <v>4.2</v>
      </c>
      <c r="R77" s="26">
        <f>SUM(R78:R79)</f>
        <v>0</v>
      </c>
      <c r="S77" s="26">
        <f>SUM(S78:S79)</f>
        <v>3</v>
      </c>
      <c r="T77" s="26">
        <f>SUM(T78:T79)</f>
        <v>1.2</v>
      </c>
      <c r="U77" s="113"/>
      <c r="V77" s="120" t="e">
        <f>#REF!+#REF!+#REF!+#REF!+#REF!+#REF!+#REF!</f>
        <v>#REF!</v>
      </c>
      <c r="W77" s="25"/>
      <c r="X77" s="25"/>
      <c r="Y77" s="25"/>
    </row>
    <row r="78" spans="1:25" ht="15">
      <c r="A78" s="897"/>
      <c r="B78" s="905"/>
      <c r="C78" s="904"/>
      <c r="D78" s="27">
        <v>2010</v>
      </c>
      <c r="E78" s="26">
        <f>SUM(F78:K78)</f>
        <v>50</v>
      </c>
      <c r="F78" s="26"/>
      <c r="G78" s="26"/>
      <c r="H78" s="26"/>
      <c r="I78" s="26"/>
      <c r="J78" s="26">
        <v>50</v>
      </c>
      <c r="K78" s="56"/>
      <c r="L78" s="903"/>
      <c r="M78" s="903"/>
      <c r="N78" s="903"/>
      <c r="O78" s="29">
        <v>45</v>
      </c>
      <c r="P78" s="29">
        <f>O78</f>
        <v>45</v>
      </c>
      <c r="Q78" s="26">
        <f aca="true" t="shared" si="38" ref="Q78:Q94">SUM(R78:T78)</f>
        <v>1.6</v>
      </c>
      <c r="R78" s="26">
        <f>U78*0.18</f>
        <v>0</v>
      </c>
      <c r="S78" s="26">
        <v>1</v>
      </c>
      <c r="T78" s="26">
        <v>0.6</v>
      </c>
      <c r="U78" s="113"/>
      <c r="V78" s="120" t="e">
        <f>#REF!+#REF!+#REF!+#REF!+#REF!+#REF!+#REF!</f>
        <v>#REF!</v>
      </c>
      <c r="W78" s="25"/>
      <c r="X78" s="25"/>
      <c r="Y78" s="25"/>
    </row>
    <row r="79" spans="1:25" ht="15">
      <c r="A79" s="897"/>
      <c r="B79" s="905"/>
      <c r="C79" s="904"/>
      <c r="D79" s="27">
        <v>2011</v>
      </c>
      <c r="E79" s="26">
        <f aca="true" t="shared" si="39" ref="E79:E94">SUM(F79:K79)</f>
        <v>22.6</v>
      </c>
      <c r="F79" s="26"/>
      <c r="G79" s="26"/>
      <c r="H79" s="26"/>
      <c r="I79" s="26">
        <v>22.6</v>
      </c>
      <c r="J79" s="26"/>
      <c r="K79" s="56"/>
      <c r="L79" s="903"/>
      <c r="M79" s="903"/>
      <c r="N79" s="903"/>
      <c r="O79" s="29">
        <v>25</v>
      </c>
      <c r="P79" s="29">
        <f>P78+O79</f>
        <v>70</v>
      </c>
      <c r="Q79" s="26">
        <f t="shared" si="38"/>
        <v>2.6</v>
      </c>
      <c r="R79" s="26">
        <f>U79*0.18</f>
        <v>0</v>
      </c>
      <c r="S79" s="26">
        <v>2</v>
      </c>
      <c r="T79" s="26">
        <v>0.6</v>
      </c>
      <c r="V79" s="120" t="e">
        <f>#REF!+#REF!+#REF!+#REF!+#REF!+#REF!+#REF!</f>
        <v>#REF!</v>
      </c>
      <c r="W79" s="25"/>
      <c r="X79" s="25"/>
      <c r="Y79" s="25"/>
    </row>
    <row r="80" spans="1:25" ht="15">
      <c r="A80" s="897"/>
      <c r="B80" s="905"/>
      <c r="C80" s="904"/>
      <c r="D80" s="27">
        <v>2012</v>
      </c>
      <c r="E80" s="26">
        <f t="shared" si="39"/>
        <v>0</v>
      </c>
      <c r="F80" s="26"/>
      <c r="G80" s="26"/>
      <c r="H80" s="26"/>
      <c r="I80" s="26"/>
      <c r="J80" s="26"/>
      <c r="K80" s="56"/>
      <c r="L80" s="903"/>
      <c r="M80" s="903"/>
      <c r="N80" s="903"/>
      <c r="O80" s="29">
        <v>0</v>
      </c>
      <c r="P80" s="29">
        <f>P79+O80</f>
        <v>70</v>
      </c>
      <c r="Q80" s="26">
        <f t="shared" si="38"/>
        <v>2.6</v>
      </c>
      <c r="R80" s="26">
        <f>U80*0.18</f>
        <v>0</v>
      </c>
      <c r="S80" s="26">
        <v>2</v>
      </c>
      <c r="T80" s="26">
        <v>0.6</v>
      </c>
      <c r="V80" s="120" t="e">
        <f>SUM(V76:V79)</f>
        <v>#REF!</v>
      </c>
      <c r="W80" s="25"/>
      <c r="X80" s="25"/>
      <c r="Y80" s="25"/>
    </row>
    <row r="81" spans="1:25" ht="36.75" customHeight="1">
      <c r="A81" s="897"/>
      <c r="B81" s="905"/>
      <c r="C81" s="904"/>
      <c r="D81" s="27">
        <v>2013</v>
      </c>
      <c r="E81" s="26">
        <f t="shared" si="39"/>
        <v>0</v>
      </c>
      <c r="F81" s="26"/>
      <c r="G81" s="26"/>
      <c r="H81" s="26"/>
      <c r="I81" s="26"/>
      <c r="J81" s="26"/>
      <c r="K81" s="56"/>
      <c r="L81" s="903"/>
      <c r="M81" s="903"/>
      <c r="N81" s="903"/>
      <c r="O81" s="29">
        <v>0</v>
      </c>
      <c r="P81" s="29">
        <f>P80+O81</f>
        <v>70</v>
      </c>
      <c r="Q81" s="26">
        <f t="shared" si="38"/>
        <v>2.6</v>
      </c>
      <c r="R81" s="26">
        <f>U81*0.18</f>
        <v>0</v>
      </c>
      <c r="S81" s="26">
        <v>2</v>
      </c>
      <c r="T81" s="26">
        <v>0.6</v>
      </c>
      <c r="U81" s="350">
        <f>SUM(U82:U82)</f>
        <v>0</v>
      </c>
      <c r="V81" s="121">
        <f>SUM(V82:V82)</f>
        <v>0</v>
      </c>
      <c r="W81" s="25"/>
      <c r="X81" s="25"/>
      <c r="Y81" s="25"/>
    </row>
    <row r="82" spans="1:25" ht="47.25" customHeight="1">
      <c r="A82" s="897"/>
      <c r="B82" s="905"/>
      <c r="C82" s="904"/>
      <c r="D82" s="27">
        <v>2014</v>
      </c>
      <c r="E82" s="26">
        <f t="shared" si="39"/>
        <v>0</v>
      </c>
      <c r="F82" s="26"/>
      <c r="G82" s="26"/>
      <c r="H82" s="26"/>
      <c r="I82" s="26"/>
      <c r="J82" s="26"/>
      <c r="K82" s="56"/>
      <c r="L82" s="903"/>
      <c r="M82" s="903"/>
      <c r="N82" s="903"/>
      <c r="O82" s="29">
        <v>0</v>
      </c>
      <c r="P82" s="29">
        <f>P81+O82</f>
        <v>70</v>
      </c>
      <c r="Q82" s="26">
        <f t="shared" si="38"/>
        <v>2.6</v>
      </c>
      <c r="R82" s="26">
        <f>U82*0.18</f>
        <v>0</v>
      </c>
      <c r="S82" s="26">
        <v>2</v>
      </c>
      <c r="T82" s="26">
        <v>0.6</v>
      </c>
      <c r="V82" s="133">
        <f aca="true" t="shared" si="40" ref="V82:V87">E82*0.7</f>
        <v>0</v>
      </c>
      <c r="W82" s="25"/>
      <c r="X82" s="25"/>
      <c r="Y82" s="25"/>
    </row>
    <row r="83" spans="1:25" ht="15.75" customHeight="1">
      <c r="A83" s="897">
        <v>12</v>
      </c>
      <c r="B83" s="900" t="s">
        <v>633</v>
      </c>
      <c r="C83" s="904" t="s">
        <v>470</v>
      </c>
      <c r="D83" s="74" t="s">
        <v>445</v>
      </c>
      <c r="E83" s="77">
        <f aca="true" t="shared" si="41" ref="E83:K83">SUM(E84:E88)</f>
        <v>560.5</v>
      </c>
      <c r="F83" s="77">
        <f t="shared" si="41"/>
        <v>0</v>
      </c>
      <c r="G83" s="77">
        <f t="shared" si="41"/>
        <v>0</v>
      </c>
      <c r="H83" s="77">
        <f t="shared" si="41"/>
        <v>0</v>
      </c>
      <c r="I83" s="77">
        <f t="shared" si="41"/>
        <v>0</v>
      </c>
      <c r="J83" s="77">
        <f t="shared" si="41"/>
        <v>560.5</v>
      </c>
      <c r="K83" s="77">
        <f t="shared" si="41"/>
        <v>0</v>
      </c>
      <c r="L83" s="903" t="s">
        <v>792</v>
      </c>
      <c r="M83" s="903" t="s">
        <v>471</v>
      </c>
      <c r="N83" s="26">
        <f>SUM(N84:N88)</f>
        <v>680</v>
      </c>
      <c r="O83" s="29">
        <f>SUM(O84:O88)</f>
        <v>160</v>
      </c>
      <c r="P83" s="29"/>
      <c r="Q83" s="26">
        <f t="shared" si="38"/>
        <v>407</v>
      </c>
      <c r="R83" s="26">
        <f>SUM(R84:R88)</f>
        <v>263.5</v>
      </c>
      <c r="S83" s="26">
        <f>SUM(S84:S88)</f>
        <v>134</v>
      </c>
      <c r="T83" s="26">
        <f>SUM(T84:T88)</f>
        <v>9.5</v>
      </c>
      <c r="V83" s="133">
        <f t="shared" si="40"/>
        <v>392.34999999999997</v>
      </c>
      <c r="W83" s="25"/>
      <c r="X83" s="25"/>
      <c r="Y83" s="25"/>
    </row>
    <row r="84" spans="1:25" ht="15.75" customHeight="1">
      <c r="A84" s="897"/>
      <c r="B84" s="900"/>
      <c r="C84" s="904"/>
      <c r="D84" s="27">
        <v>2010</v>
      </c>
      <c r="E84" s="26">
        <f t="shared" si="39"/>
        <v>25</v>
      </c>
      <c r="F84" s="26"/>
      <c r="G84" s="26"/>
      <c r="H84" s="26"/>
      <c r="I84" s="26"/>
      <c r="J84" s="26">
        <v>25</v>
      </c>
      <c r="K84" s="53"/>
      <c r="L84" s="903"/>
      <c r="M84" s="903"/>
      <c r="N84" s="26">
        <v>136</v>
      </c>
      <c r="O84" s="29">
        <v>117</v>
      </c>
      <c r="P84" s="29">
        <f>O84</f>
        <v>117</v>
      </c>
      <c r="Q84" s="26">
        <f t="shared" si="38"/>
        <v>81.4</v>
      </c>
      <c r="R84" s="26">
        <v>52.7</v>
      </c>
      <c r="S84" s="26">
        <v>26.8</v>
      </c>
      <c r="T84" s="26">
        <v>1.9</v>
      </c>
      <c r="V84" s="133">
        <f t="shared" si="40"/>
        <v>17.5</v>
      </c>
      <c r="W84" s="25"/>
      <c r="X84" s="25"/>
      <c r="Y84" s="25"/>
    </row>
    <row r="85" spans="1:25" ht="15.75" customHeight="1">
      <c r="A85" s="897"/>
      <c r="B85" s="900"/>
      <c r="C85" s="904"/>
      <c r="D85" s="27">
        <v>2011</v>
      </c>
      <c r="E85" s="26">
        <f t="shared" si="39"/>
        <v>535.5</v>
      </c>
      <c r="F85" s="26"/>
      <c r="G85" s="26"/>
      <c r="H85" s="26"/>
      <c r="I85" s="26"/>
      <c r="J85" s="26">
        <v>535.5</v>
      </c>
      <c r="K85" s="53"/>
      <c r="L85" s="903"/>
      <c r="M85" s="903"/>
      <c r="N85" s="26">
        <v>136</v>
      </c>
      <c r="O85" s="29">
        <v>43</v>
      </c>
      <c r="P85" s="29">
        <f>P84+O85</f>
        <v>160</v>
      </c>
      <c r="Q85" s="26">
        <f t="shared" si="38"/>
        <v>81.4</v>
      </c>
      <c r="R85" s="26">
        <v>52.7</v>
      </c>
      <c r="S85" s="26">
        <v>26.8</v>
      </c>
      <c r="T85" s="26">
        <v>1.9</v>
      </c>
      <c r="V85" s="133">
        <f t="shared" si="40"/>
        <v>374.84999999999997</v>
      </c>
      <c r="W85" s="25"/>
      <c r="X85" s="25"/>
      <c r="Y85" s="25"/>
    </row>
    <row r="86" spans="1:25" ht="15.75" customHeight="1">
      <c r="A86" s="897"/>
      <c r="B86" s="900"/>
      <c r="C86" s="904"/>
      <c r="D86" s="27">
        <v>2012</v>
      </c>
      <c r="E86" s="26">
        <f t="shared" si="39"/>
        <v>0</v>
      </c>
      <c r="F86" s="26"/>
      <c r="G86" s="26"/>
      <c r="H86" s="26"/>
      <c r="I86" s="26"/>
      <c r="J86" s="26"/>
      <c r="K86" s="53"/>
      <c r="L86" s="903"/>
      <c r="M86" s="903"/>
      <c r="N86" s="26">
        <v>136</v>
      </c>
      <c r="O86" s="29">
        <v>0</v>
      </c>
      <c r="P86" s="29">
        <f>P85+O86</f>
        <v>160</v>
      </c>
      <c r="Q86" s="26">
        <f t="shared" si="38"/>
        <v>81.4</v>
      </c>
      <c r="R86" s="26">
        <v>52.7</v>
      </c>
      <c r="S86" s="26">
        <v>26.8</v>
      </c>
      <c r="T86" s="26">
        <v>1.9</v>
      </c>
      <c r="V86" s="133">
        <f t="shared" si="40"/>
        <v>0</v>
      </c>
      <c r="W86" s="25"/>
      <c r="X86" s="25"/>
      <c r="Y86" s="25"/>
    </row>
    <row r="87" spans="1:25" ht="15.75" customHeight="1">
      <c r="A87" s="897"/>
      <c r="B87" s="900"/>
      <c r="C87" s="904"/>
      <c r="D87" s="27">
        <v>2013</v>
      </c>
      <c r="E87" s="26">
        <f t="shared" si="39"/>
        <v>0</v>
      </c>
      <c r="F87" s="26"/>
      <c r="G87" s="26"/>
      <c r="H87" s="26"/>
      <c r="I87" s="26"/>
      <c r="J87" s="26"/>
      <c r="K87" s="53"/>
      <c r="L87" s="903"/>
      <c r="M87" s="903"/>
      <c r="N87" s="26">
        <v>136</v>
      </c>
      <c r="O87" s="29">
        <v>0</v>
      </c>
      <c r="P87" s="29">
        <f>P86+O87</f>
        <v>160</v>
      </c>
      <c r="Q87" s="26">
        <f t="shared" si="38"/>
        <v>81.4</v>
      </c>
      <c r="R87" s="26">
        <v>52.7</v>
      </c>
      <c r="S87" s="26">
        <v>26.8</v>
      </c>
      <c r="T87" s="26">
        <v>1.9</v>
      </c>
      <c r="V87" s="133">
        <f t="shared" si="40"/>
        <v>0</v>
      </c>
      <c r="W87" s="25"/>
      <c r="X87" s="25"/>
      <c r="Y87" s="25"/>
    </row>
    <row r="88" spans="1:25" ht="15" customHeight="1">
      <c r="A88" s="897"/>
      <c r="B88" s="900"/>
      <c r="C88" s="904"/>
      <c r="D88" s="27">
        <v>2014</v>
      </c>
      <c r="E88" s="26">
        <f t="shared" si="39"/>
        <v>0</v>
      </c>
      <c r="F88" s="26"/>
      <c r="G88" s="26"/>
      <c r="H88" s="26"/>
      <c r="I88" s="26"/>
      <c r="J88" s="26"/>
      <c r="K88" s="53"/>
      <c r="L88" s="903"/>
      <c r="M88" s="903"/>
      <c r="N88" s="26">
        <v>136</v>
      </c>
      <c r="O88" s="29">
        <v>0</v>
      </c>
      <c r="P88" s="29">
        <f>P87+O88</f>
        <v>160</v>
      </c>
      <c r="Q88" s="26">
        <f t="shared" si="38"/>
        <v>81.4</v>
      </c>
      <c r="R88" s="26">
        <v>52.7</v>
      </c>
      <c r="S88" s="26">
        <v>26.8</v>
      </c>
      <c r="T88" s="26">
        <v>1.9</v>
      </c>
      <c r="U88" s="116"/>
      <c r="V88" s="133">
        <f aca="true" t="shared" si="42" ref="V88:V93">E88*0.7</f>
        <v>0</v>
      </c>
      <c r="W88" s="25"/>
      <c r="X88" s="25"/>
      <c r="Y88" s="25"/>
    </row>
    <row r="89" spans="1:25" ht="30" customHeight="1" hidden="1">
      <c r="A89" s="897">
        <v>13</v>
      </c>
      <c r="B89" s="900" t="s">
        <v>634</v>
      </c>
      <c r="C89" s="904" t="s">
        <v>453</v>
      </c>
      <c r="D89" s="74" t="s">
        <v>445</v>
      </c>
      <c r="E89" s="77">
        <f aca="true" t="shared" si="43" ref="E89:K89">SUM(E90:E94)</f>
        <v>0.9</v>
      </c>
      <c r="F89" s="77">
        <f t="shared" si="43"/>
        <v>0</v>
      </c>
      <c r="G89" s="77">
        <f t="shared" si="43"/>
        <v>0</v>
      </c>
      <c r="H89" s="77">
        <f t="shared" si="43"/>
        <v>0</v>
      </c>
      <c r="I89" s="77">
        <f t="shared" si="43"/>
        <v>0</v>
      </c>
      <c r="J89" s="77">
        <f t="shared" si="43"/>
        <v>0.9</v>
      </c>
      <c r="K89" s="77">
        <f t="shared" si="43"/>
        <v>0</v>
      </c>
      <c r="L89" s="903" t="s">
        <v>0</v>
      </c>
      <c r="M89" s="903"/>
      <c r="N89" s="26">
        <f>SUM(N90:N94)</f>
        <v>5.5</v>
      </c>
      <c r="O89" s="29">
        <f>SUM(O90:O94)</f>
        <v>33</v>
      </c>
      <c r="P89" s="29"/>
      <c r="Q89" s="26">
        <f t="shared" si="38"/>
        <v>4.5</v>
      </c>
      <c r="R89" s="26">
        <f>SUM(R90:R94)</f>
        <v>0</v>
      </c>
      <c r="S89" s="26">
        <f>SUM(S90:S94)</f>
        <v>2.5</v>
      </c>
      <c r="T89" s="26">
        <f>SUM(T90:T94)</f>
        <v>2</v>
      </c>
      <c r="U89" s="113"/>
      <c r="V89" s="133">
        <f t="shared" si="42"/>
        <v>0.63</v>
      </c>
      <c r="W89" s="25"/>
      <c r="X89" s="25"/>
      <c r="Y89" s="25"/>
    </row>
    <row r="90" spans="1:25" ht="15" customHeight="1">
      <c r="A90" s="897"/>
      <c r="B90" s="900"/>
      <c r="C90" s="904"/>
      <c r="D90" s="27">
        <v>2010</v>
      </c>
      <c r="E90" s="26">
        <f t="shared" si="39"/>
        <v>0.9</v>
      </c>
      <c r="F90" s="26"/>
      <c r="G90" s="26"/>
      <c r="H90" s="26"/>
      <c r="I90" s="26"/>
      <c r="J90" s="26">
        <v>0.9</v>
      </c>
      <c r="K90" s="53"/>
      <c r="L90" s="903"/>
      <c r="M90" s="903" t="s">
        <v>461</v>
      </c>
      <c r="N90" s="26">
        <v>1.1</v>
      </c>
      <c r="O90" s="29">
        <v>33</v>
      </c>
      <c r="P90" s="29">
        <f>O90</f>
        <v>33</v>
      </c>
      <c r="Q90" s="26">
        <f t="shared" si="38"/>
        <v>0.9</v>
      </c>
      <c r="R90" s="26"/>
      <c r="S90" s="26">
        <v>0.5</v>
      </c>
      <c r="T90" s="26">
        <v>0.4</v>
      </c>
      <c r="U90" s="116"/>
      <c r="V90" s="133">
        <f t="shared" si="42"/>
        <v>0.63</v>
      </c>
      <c r="W90" s="25"/>
      <c r="X90" s="25"/>
      <c r="Y90" s="25"/>
    </row>
    <row r="91" spans="1:25" ht="15">
      <c r="A91" s="897"/>
      <c r="B91" s="900"/>
      <c r="C91" s="904"/>
      <c r="D91" s="27">
        <v>2011</v>
      </c>
      <c r="E91" s="26">
        <f t="shared" si="39"/>
        <v>0</v>
      </c>
      <c r="F91" s="26"/>
      <c r="G91" s="26"/>
      <c r="H91" s="26"/>
      <c r="I91" s="26"/>
      <c r="J91" s="26"/>
      <c r="K91" s="53"/>
      <c r="L91" s="903"/>
      <c r="M91" s="903"/>
      <c r="N91" s="26">
        <v>1.1</v>
      </c>
      <c r="O91" s="29">
        <v>0</v>
      </c>
      <c r="P91" s="29">
        <f>P90+O91</f>
        <v>33</v>
      </c>
      <c r="Q91" s="26">
        <f t="shared" si="38"/>
        <v>0.9</v>
      </c>
      <c r="R91" s="26"/>
      <c r="S91" s="26">
        <v>0.5</v>
      </c>
      <c r="T91" s="26">
        <v>0.4</v>
      </c>
      <c r="U91" s="116"/>
      <c r="V91" s="133">
        <f t="shared" si="42"/>
        <v>0</v>
      </c>
      <c r="W91" s="25"/>
      <c r="X91" s="25"/>
      <c r="Y91" s="25"/>
    </row>
    <row r="92" spans="1:25" ht="15">
      <c r="A92" s="897"/>
      <c r="B92" s="900"/>
      <c r="C92" s="904"/>
      <c r="D92" s="27">
        <v>2012</v>
      </c>
      <c r="E92" s="26">
        <f t="shared" si="39"/>
        <v>0</v>
      </c>
      <c r="F92" s="26"/>
      <c r="G92" s="26"/>
      <c r="H92" s="26"/>
      <c r="I92" s="26"/>
      <c r="J92" s="26"/>
      <c r="K92" s="53"/>
      <c r="L92" s="903"/>
      <c r="M92" s="903"/>
      <c r="N92" s="26">
        <v>1.1</v>
      </c>
      <c r="O92" s="29">
        <v>0</v>
      </c>
      <c r="P92" s="29">
        <f>P91+O92</f>
        <v>33</v>
      </c>
      <c r="Q92" s="26">
        <f t="shared" si="38"/>
        <v>0.9</v>
      </c>
      <c r="R92" s="26"/>
      <c r="S92" s="26">
        <v>0.5</v>
      </c>
      <c r="T92" s="26">
        <v>0.4</v>
      </c>
      <c r="U92" s="116"/>
      <c r="V92" s="133">
        <f t="shared" si="42"/>
        <v>0</v>
      </c>
      <c r="W92" s="25"/>
      <c r="X92" s="25"/>
      <c r="Y92" s="25"/>
    </row>
    <row r="93" spans="1:25" ht="16.5" customHeight="1">
      <c r="A93" s="897"/>
      <c r="B93" s="900"/>
      <c r="C93" s="904"/>
      <c r="D93" s="27">
        <v>2013</v>
      </c>
      <c r="E93" s="26">
        <f t="shared" si="39"/>
        <v>0</v>
      </c>
      <c r="F93" s="26"/>
      <c r="G93" s="26"/>
      <c r="H93" s="26"/>
      <c r="I93" s="26"/>
      <c r="J93" s="26"/>
      <c r="K93" s="53"/>
      <c r="L93" s="903"/>
      <c r="M93" s="903"/>
      <c r="N93" s="26">
        <v>1.1</v>
      </c>
      <c r="O93" s="29">
        <v>0</v>
      </c>
      <c r="P93" s="29">
        <f>P92+O93</f>
        <v>33</v>
      </c>
      <c r="Q93" s="26">
        <f t="shared" si="38"/>
        <v>0.9</v>
      </c>
      <c r="R93" s="26"/>
      <c r="S93" s="26">
        <v>0.5</v>
      </c>
      <c r="T93" s="26">
        <v>0.4</v>
      </c>
      <c r="V93" s="133">
        <f t="shared" si="42"/>
        <v>0</v>
      </c>
      <c r="W93" s="25"/>
      <c r="X93" s="25"/>
      <c r="Y93" s="25"/>
    </row>
    <row r="94" spans="1:87" s="39" customFormat="1" ht="16.5" customHeight="1">
      <c r="A94" s="897"/>
      <c r="B94" s="900"/>
      <c r="C94" s="904"/>
      <c r="D94" s="27">
        <v>2014</v>
      </c>
      <c r="E94" s="26">
        <f t="shared" si="39"/>
        <v>0</v>
      </c>
      <c r="F94" s="26"/>
      <c r="G94" s="26"/>
      <c r="H94" s="26"/>
      <c r="I94" s="26"/>
      <c r="J94" s="26"/>
      <c r="K94" s="53"/>
      <c r="L94" s="903"/>
      <c r="M94" s="903"/>
      <c r="N94" s="26">
        <v>1.1</v>
      </c>
      <c r="O94" s="29">
        <v>0</v>
      </c>
      <c r="P94" s="29">
        <f>P93+O94</f>
        <v>33</v>
      </c>
      <c r="Q94" s="26">
        <f t="shared" si="38"/>
        <v>0.9</v>
      </c>
      <c r="R94" s="26"/>
      <c r="S94" s="26">
        <v>0.5</v>
      </c>
      <c r="T94" s="26">
        <v>0.4</v>
      </c>
      <c r="U94" s="114"/>
      <c r="V94" s="123" t="e">
        <f>#REF!+#REF!+#REF!+#REF!</f>
        <v>#REF!</v>
      </c>
      <c r="W94" s="25"/>
      <c r="X94" s="25"/>
      <c r="Y94" s="25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  <c r="BV94" s="11"/>
      <c r="BW94" s="11"/>
      <c r="BX94" s="11"/>
      <c r="BY94" s="11"/>
      <c r="BZ94" s="11"/>
      <c r="CA94" s="11"/>
      <c r="CB94" s="11"/>
      <c r="CC94" s="11"/>
      <c r="CD94" s="11"/>
      <c r="CE94" s="11"/>
      <c r="CF94" s="11"/>
      <c r="CG94" s="11"/>
      <c r="CH94" s="11"/>
      <c r="CI94" s="11"/>
    </row>
    <row r="95" spans="1:87" s="39" customFormat="1" ht="16.5" customHeight="1">
      <c r="A95" s="897">
        <f>A89+1</f>
        <v>14</v>
      </c>
      <c r="B95" s="900" t="s">
        <v>637</v>
      </c>
      <c r="C95" s="904" t="s">
        <v>455</v>
      </c>
      <c r="D95" s="74" t="s">
        <v>445</v>
      </c>
      <c r="E95" s="77">
        <f aca="true" t="shared" si="44" ref="E95:K95">SUM(E96:E100)</f>
        <v>3.8</v>
      </c>
      <c r="F95" s="77">
        <f t="shared" si="44"/>
        <v>0</v>
      </c>
      <c r="G95" s="77">
        <f t="shared" si="44"/>
        <v>0</v>
      </c>
      <c r="H95" s="77">
        <f t="shared" si="44"/>
        <v>0</v>
      </c>
      <c r="I95" s="77">
        <f t="shared" si="44"/>
        <v>0.2</v>
      </c>
      <c r="J95" s="77">
        <f t="shared" si="44"/>
        <v>3.6</v>
      </c>
      <c r="K95" s="77">
        <f t="shared" si="44"/>
        <v>0</v>
      </c>
      <c r="L95" s="903" t="s">
        <v>28</v>
      </c>
      <c r="M95" s="903" t="s">
        <v>699</v>
      </c>
      <c r="N95" s="26">
        <f>SUM(N96:N100)</f>
        <v>31.5</v>
      </c>
      <c r="O95" s="29">
        <f>SUM(O96:O100)</f>
        <v>18</v>
      </c>
      <c r="P95" s="29"/>
      <c r="Q95" s="26">
        <f aca="true" t="shared" si="45" ref="Q95:Q100">SUM(R95:T95)</f>
        <v>0.47736</v>
      </c>
      <c r="R95" s="26">
        <f>SUM(R96:R100)</f>
        <v>0</v>
      </c>
      <c r="S95" s="26">
        <f>SUM(S96:S100)</f>
        <v>0.262548</v>
      </c>
      <c r="T95" s="26">
        <f>SUM(T96:T100)</f>
        <v>0.214812</v>
      </c>
      <c r="U95" s="114"/>
      <c r="V95" s="123" t="e">
        <f>#REF!+#REF!+#REF!+#REF!</f>
        <v>#REF!</v>
      </c>
      <c r="W95" s="25"/>
      <c r="X95" s="25"/>
      <c r="Y95" s="25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  <c r="BV95" s="11"/>
      <c r="BW95" s="11"/>
      <c r="BX95" s="11"/>
      <c r="BY95" s="11"/>
      <c r="BZ95" s="11"/>
      <c r="CA95" s="11"/>
      <c r="CB95" s="11"/>
      <c r="CC95" s="11"/>
      <c r="CD95" s="11"/>
      <c r="CE95" s="11"/>
      <c r="CF95" s="11"/>
      <c r="CG95" s="11"/>
      <c r="CH95" s="11"/>
      <c r="CI95" s="11"/>
    </row>
    <row r="96" spans="1:87" s="39" customFormat="1" ht="16.5" customHeight="1">
      <c r="A96" s="897"/>
      <c r="B96" s="900"/>
      <c r="C96" s="904"/>
      <c r="D96" s="27">
        <v>2010</v>
      </c>
      <c r="E96" s="26">
        <f>SUM(F96:K96)</f>
        <v>2</v>
      </c>
      <c r="F96" s="26"/>
      <c r="G96" s="26"/>
      <c r="H96" s="26"/>
      <c r="I96" s="26">
        <v>0.2</v>
      </c>
      <c r="J96" s="26">
        <v>1.8</v>
      </c>
      <c r="K96" s="53"/>
      <c r="L96" s="903"/>
      <c r="M96" s="903"/>
      <c r="N96" s="26">
        <v>6.3</v>
      </c>
      <c r="O96" s="29">
        <v>18</v>
      </c>
      <c r="P96" s="29">
        <f>O96</f>
        <v>18</v>
      </c>
      <c r="Q96" s="26">
        <f t="shared" si="45"/>
        <v>0.22464</v>
      </c>
      <c r="R96" s="26"/>
      <c r="S96" s="26">
        <f>(O96*8000*12)*0.13*0.55/1000000</f>
        <v>0.12355200000000001</v>
      </c>
      <c r="T96" s="26">
        <f>(O96*8000*12)*0.13*0.45/1000000</f>
        <v>0.101088</v>
      </c>
      <c r="U96" s="114"/>
      <c r="V96" s="123" t="e">
        <f>#REF!+#REF!+#REF!+#REF!</f>
        <v>#REF!</v>
      </c>
      <c r="W96" s="25"/>
      <c r="X96" s="25"/>
      <c r="Y96" s="25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  <c r="BX96" s="11"/>
      <c r="BY96" s="11"/>
      <c r="BZ96" s="11"/>
      <c r="CA96" s="11"/>
      <c r="CB96" s="11"/>
      <c r="CC96" s="11"/>
      <c r="CD96" s="11"/>
      <c r="CE96" s="11"/>
      <c r="CF96" s="11"/>
      <c r="CG96" s="11"/>
      <c r="CH96" s="11"/>
      <c r="CI96" s="11"/>
    </row>
    <row r="97" spans="1:87" s="39" customFormat="1" ht="16.5" customHeight="1">
      <c r="A97" s="897"/>
      <c r="B97" s="900"/>
      <c r="C97" s="904"/>
      <c r="D97" s="27">
        <v>2011</v>
      </c>
      <c r="E97" s="26">
        <f>SUM(F97:K97)</f>
        <v>1.8</v>
      </c>
      <c r="F97" s="26"/>
      <c r="G97" s="26"/>
      <c r="H97" s="26"/>
      <c r="I97" s="26"/>
      <c r="J97" s="26">
        <v>1.8</v>
      </c>
      <c r="K97" s="53"/>
      <c r="L97" s="903"/>
      <c r="M97" s="903"/>
      <c r="N97" s="26">
        <v>6.3</v>
      </c>
      <c r="O97" s="29">
        <v>0</v>
      </c>
      <c r="P97" s="29">
        <f>P96+O97</f>
        <v>18</v>
      </c>
      <c r="Q97" s="26">
        <f t="shared" si="45"/>
        <v>0.25272</v>
      </c>
      <c r="R97" s="26"/>
      <c r="S97" s="26">
        <f>(O96*9000*12)*0.13*0.55/1000000</f>
        <v>0.138996</v>
      </c>
      <c r="T97" s="26">
        <f>(O96*9000*12)*0.13*0.45/1000000</f>
        <v>0.113724</v>
      </c>
      <c r="U97" s="114"/>
      <c r="V97" s="123" t="e">
        <f>#REF!+#REF!+#REF!+#REF!</f>
        <v>#REF!</v>
      </c>
      <c r="W97" s="25"/>
      <c r="X97" s="25"/>
      <c r="Y97" s="25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</row>
    <row r="98" spans="1:87" s="39" customFormat="1" ht="16.5" customHeight="1">
      <c r="A98" s="897"/>
      <c r="B98" s="900"/>
      <c r="C98" s="904"/>
      <c r="D98" s="27">
        <v>2012</v>
      </c>
      <c r="E98" s="26">
        <f>SUM(F98:K98)</f>
        <v>0</v>
      </c>
      <c r="F98" s="26"/>
      <c r="G98" s="26"/>
      <c r="H98" s="26"/>
      <c r="I98" s="26"/>
      <c r="J98" s="26"/>
      <c r="K98" s="53"/>
      <c r="L98" s="903"/>
      <c r="M98" s="903"/>
      <c r="N98" s="26">
        <v>6.3</v>
      </c>
      <c r="O98" s="29">
        <v>0</v>
      </c>
      <c r="P98" s="29">
        <f>P97+O98</f>
        <v>18</v>
      </c>
      <c r="Q98" s="26">
        <f t="shared" si="45"/>
        <v>0</v>
      </c>
      <c r="R98" s="26"/>
      <c r="S98" s="26">
        <f>(O97*9000*12)*0.13*0.55/1000000</f>
        <v>0</v>
      </c>
      <c r="T98" s="26">
        <f>(O97*9000*12)*0.13*0.45/1000000</f>
        <v>0</v>
      </c>
      <c r="U98" s="114"/>
      <c r="V98" s="123" t="e">
        <f>#REF!+#REF!+#REF!+#REF!</f>
        <v>#REF!</v>
      </c>
      <c r="W98" s="25"/>
      <c r="X98" s="25"/>
      <c r="Y98" s="25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</row>
    <row r="99" spans="1:87" s="39" customFormat="1" ht="13.5" customHeight="1">
      <c r="A99" s="897"/>
      <c r="B99" s="900"/>
      <c r="C99" s="904"/>
      <c r="D99" s="27">
        <v>2013</v>
      </c>
      <c r="E99" s="26">
        <f>SUM(F99:K99)</f>
        <v>0</v>
      </c>
      <c r="F99" s="26"/>
      <c r="G99" s="26"/>
      <c r="H99" s="26"/>
      <c r="I99" s="26"/>
      <c r="J99" s="26"/>
      <c r="K99" s="53"/>
      <c r="L99" s="903"/>
      <c r="M99" s="903"/>
      <c r="N99" s="26">
        <v>6.3</v>
      </c>
      <c r="O99" s="29">
        <v>0</v>
      </c>
      <c r="P99" s="29">
        <f>P98+O99</f>
        <v>18</v>
      </c>
      <c r="Q99" s="26">
        <f t="shared" si="45"/>
        <v>0</v>
      </c>
      <c r="R99" s="26"/>
      <c r="S99" s="26">
        <f>(O98*9000*12)*0.13*0.55/1000000</f>
        <v>0</v>
      </c>
      <c r="T99" s="26">
        <f>(O98*9000*12)*0.13*0.45/1000000</f>
        <v>0</v>
      </c>
      <c r="U99" s="114"/>
      <c r="V99" s="123" t="e">
        <f>SUM(V94:V98)</f>
        <v>#REF!</v>
      </c>
      <c r="W99" s="25"/>
      <c r="X99" s="25"/>
      <c r="Y99" s="25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</row>
    <row r="100" spans="1:25" ht="25.5" customHeight="1">
      <c r="A100" s="897"/>
      <c r="B100" s="900"/>
      <c r="C100" s="904"/>
      <c r="D100" s="27">
        <v>2014</v>
      </c>
      <c r="E100" s="26">
        <f>SUM(F100:K100)</f>
        <v>0</v>
      </c>
      <c r="F100" s="26"/>
      <c r="G100" s="26"/>
      <c r="H100" s="26"/>
      <c r="I100" s="26"/>
      <c r="J100" s="26"/>
      <c r="K100" s="53"/>
      <c r="L100" s="903"/>
      <c r="M100" s="903"/>
      <c r="N100" s="26">
        <v>6.3</v>
      </c>
      <c r="O100" s="29">
        <v>0</v>
      </c>
      <c r="P100" s="29">
        <f>P99+O100</f>
        <v>18</v>
      </c>
      <c r="Q100" s="26">
        <f t="shared" si="45"/>
        <v>0</v>
      </c>
      <c r="R100" s="26"/>
      <c r="S100" s="26">
        <f>(O99*9000*12)*0.13*0.55/1000000</f>
        <v>0</v>
      </c>
      <c r="T100" s="26">
        <f>(O99*9000*12)*0.13*0.45/1000000</f>
        <v>0</v>
      </c>
      <c r="U100" s="351" t="e">
        <f>SUM(#REF!)</f>
        <v>#REF!</v>
      </c>
      <c r="V100" s="122" t="e">
        <f>SUM(#REF!)</f>
        <v>#REF!</v>
      </c>
      <c r="W100" s="25"/>
      <c r="X100" s="25"/>
      <c r="Y100" s="25"/>
    </row>
    <row r="101" spans="1:25" ht="15">
      <c r="A101" s="901" t="s">
        <v>127</v>
      </c>
      <c r="B101" s="901"/>
      <c r="C101" s="901"/>
      <c r="D101" s="901"/>
      <c r="E101" s="901"/>
      <c r="F101" s="901"/>
      <c r="G101" s="901"/>
      <c r="H101" s="901"/>
      <c r="I101" s="901"/>
      <c r="J101" s="901"/>
      <c r="K101" s="901"/>
      <c r="L101" s="901"/>
      <c r="M101" s="901"/>
      <c r="N101" s="901"/>
      <c r="O101" s="901"/>
      <c r="P101" s="901"/>
      <c r="Q101" s="901"/>
      <c r="R101" s="901"/>
      <c r="S101" s="901"/>
      <c r="T101" s="901"/>
      <c r="V101" s="25"/>
      <c r="W101" s="25"/>
      <c r="X101" s="25"/>
      <c r="Y101" s="25"/>
    </row>
    <row r="102" spans="1:25" ht="15">
      <c r="A102" s="902"/>
      <c r="B102" s="895" t="s">
        <v>646</v>
      </c>
      <c r="C102" s="895"/>
      <c r="D102" s="41">
        <v>2010</v>
      </c>
      <c r="E102" s="52">
        <f>E110+E116</f>
        <v>1.9849999999999999</v>
      </c>
      <c r="F102" s="52">
        <f aca="true" t="shared" si="46" ref="F102:K102">F110+F116</f>
        <v>0</v>
      </c>
      <c r="G102" s="52">
        <f t="shared" si="46"/>
        <v>0.985</v>
      </c>
      <c r="H102" s="52">
        <f t="shared" si="46"/>
        <v>1</v>
      </c>
      <c r="I102" s="52">
        <f t="shared" si="46"/>
        <v>0</v>
      </c>
      <c r="J102" s="52">
        <f t="shared" si="46"/>
        <v>0</v>
      </c>
      <c r="K102" s="52">
        <f t="shared" si="46"/>
        <v>0</v>
      </c>
      <c r="L102" s="875"/>
      <c r="M102" s="875"/>
      <c r="N102" s="52">
        <f>N110+N116</f>
        <v>0.208425</v>
      </c>
      <c r="O102" s="52">
        <f aca="true" t="shared" si="47" ref="O102:T102">O110+O116</f>
        <v>1.5</v>
      </c>
      <c r="P102" s="52">
        <f t="shared" si="47"/>
        <v>0</v>
      </c>
      <c r="Q102" s="52">
        <f t="shared" si="47"/>
        <v>0.23683564499999998</v>
      </c>
      <c r="R102" s="52">
        <f t="shared" si="47"/>
        <v>0.1828185</v>
      </c>
      <c r="S102" s="52">
        <f t="shared" si="47"/>
        <v>0.0378120015</v>
      </c>
      <c r="T102" s="52">
        <f t="shared" si="47"/>
        <v>0.016205143499999998</v>
      </c>
      <c r="V102" s="25"/>
      <c r="W102" s="25"/>
      <c r="X102" s="25"/>
      <c r="Y102" s="25"/>
    </row>
    <row r="103" spans="1:25" ht="15">
      <c r="A103" s="902"/>
      <c r="B103" s="895"/>
      <c r="C103" s="895"/>
      <c r="D103" s="41">
        <v>2011</v>
      </c>
      <c r="E103" s="52">
        <f aca="true" t="shared" si="48" ref="E103:K106">E111+E117</f>
        <v>0</v>
      </c>
      <c r="F103" s="52">
        <f t="shared" si="48"/>
        <v>0</v>
      </c>
      <c r="G103" s="52">
        <f t="shared" si="48"/>
        <v>0</v>
      </c>
      <c r="H103" s="52">
        <f t="shared" si="48"/>
        <v>0</v>
      </c>
      <c r="I103" s="52">
        <f t="shared" si="48"/>
        <v>0</v>
      </c>
      <c r="J103" s="52">
        <f t="shared" si="48"/>
        <v>0</v>
      </c>
      <c r="K103" s="52">
        <f t="shared" si="48"/>
        <v>0</v>
      </c>
      <c r="L103" s="875"/>
      <c r="M103" s="875"/>
      <c r="N103" s="52">
        <f aca="true" t="shared" si="49" ref="N103:T106">N111+N117</f>
        <v>0</v>
      </c>
      <c r="O103" s="52">
        <f t="shared" si="49"/>
        <v>1</v>
      </c>
      <c r="P103" s="52">
        <f t="shared" si="49"/>
        <v>0</v>
      </c>
      <c r="Q103" s="52">
        <f t="shared" si="49"/>
        <v>0.032760000000000004</v>
      </c>
      <c r="R103" s="52">
        <f t="shared" si="49"/>
        <v>0</v>
      </c>
      <c r="S103" s="52">
        <f t="shared" si="49"/>
        <v>0.022932</v>
      </c>
      <c r="T103" s="52">
        <f t="shared" si="49"/>
        <v>0.009828000000000002</v>
      </c>
      <c r="V103" s="25"/>
      <c r="W103" s="25"/>
      <c r="X103" s="25"/>
      <c r="Y103" s="25"/>
    </row>
    <row r="104" spans="1:25" ht="15">
      <c r="A104" s="902"/>
      <c r="B104" s="895"/>
      <c r="C104" s="895"/>
      <c r="D104" s="42">
        <v>2012</v>
      </c>
      <c r="E104" s="52">
        <f t="shared" si="48"/>
        <v>0</v>
      </c>
      <c r="F104" s="52">
        <f t="shared" si="48"/>
        <v>0</v>
      </c>
      <c r="G104" s="52">
        <f t="shared" si="48"/>
        <v>0</v>
      </c>
      <c r="H104" s="52">
        <f t="shared" si="48"/>
        <v>0</v>
      </c>
      <c r="I104" s="52">
        <f t="shared" si="48"/>
        <v>0</v>
      </c>
      <c r="J104" s="52">
        <f t="shared" si="48"/>
        <v>0</v>
      </c>
      <c r="K104" s="52">
        <f t="shared" si="48"/>
        <v>0</v>
      </c>
      <c r="L104" s="875"/>
      <c r="M104" s="875"/>
      <c r="N104" s="52">
        <f t="shared" si="49"/>
        <v>0</v>
      </c>
      <c r="O104" s="52">
        <f t="shared" si="49"/>
        <v>1</v>
      </c>
      <c r="P104" s="52">
        <f t="shared" si="49"/>
        <v>0</v>
      </c>
      <c r="Q104" s="52">
        <f t="shared" si="49"/>
        <v>0.032760000000000004</v>
      </c>
      <c r="R104" s="52">
        <f t="shared" si="49"/>
        <v>0</v>
      </c>
      <c r="S104" s="52">
        <f t="shared" si="49"/>
        <v>0.022932</v>
      </c>
      <c r="T104" s="52">
        <f t="shared" si="49"/>
        <v>0.009828000000000002</v>
      </c>
      <c r="V104" s="25"/>
      <c r="W104" s="25"/>
      <c r="X104" s="25"/>
      <c r="Y104" s="25"/>
    </row>
    <row r="105" spans="1:25" ht="15">
      <c r="A105" s="902"/>
      <c r="B105" s="895"/>
      <c r="C105" s="895"/>
      <c r="D105" s="42">
        <v>2013</v>
      </c>
      <c r="E105" s="52">
        <f t="shared" si="48"/>
        <v>0</v>
      </c>
      <c r="F105" s="52">
        <f t="shared" si="48"/>
        <v>0</v>
      </c>
      <c r="G105" s="52">
        <f t="shared" si="48"/>
        <v>0</v>
      </c>
      <c r="H105" s="52">
        <f t="shared" si="48"/>
        <v>0</v>
      </c>
      <c r="I105" s="52">
        <f t="shared" si="48"/>
        <v>0</v>
      </c>
      <c r="J105" s="52">
        <f t="shared" si="48"/>
        <v>0</v>
      </c>
      <c r="K105" s="52">
        <f t="shared" si="48"/>
        <v>0</v>
      </c>
      <c r="L105" s="875"/>
      <c r="M105" s="875"/>
      <c r="N105" s="52">
        <f t="shared" si="49"/>
        <v>0</v>
      </c>
      <c r="O105" s="52">
        <f t="shared" si="49"/>
        <v>1</v>
      </c>
      <c r="P105" s="52">
        <f t="shared" si="49"/>
        <v>0</v>
      </c>
      <c r="Q105" s="52">
        <f t="shared" si="49"/>
        <v>0.032760000000000004</v>
      </c>
      <c r="R105" s="52">
        <f t="shared" si="49"/>
        <v>0</v>
      </c>
      <c r="S105" s="52">
        <f t="shared" si="49"/>
        <v>0.022932</v>
      </c>
      <c r="T105" s="52">
        <f t="shared" si="49"/>
        <v>0.009828000000000002</v>
      </c>
      <c r="V105" s="25"/>
      <c r="W105" s="25"/>
      <c r="X105" s="25"/>
      <c r="Y105" s="25"/>
    </row>
    <row r="106" spans="1:25" ht="15">
      <c r="A106" s="902"/>
      <c r="B106" s="895"/>
      <c r="C106" s="895"/>
      <c r="D106" s="42">
        <v>2014</v>
      </c>
      <c r="E106" s="52">
        <f t="shared" si="48"/>
        <v>0</v>
      </c>
      <c r="F106" s="52">
        <f t="shared" si="48"/>
        <v>0</v>
      </c>
      <c r="G106" s="52">
        <f t="shared" si="48"/>
        <v>0</v>
      </c>
      <c r="H106" s="52">
        <f t="shared" si="48"/>
        <v>0</v>
      </c>
      <c r="I106" s="52">
        <f t="shared" si="48"/>
        <v>0</v>
      </c>
      <c r="J106" s="52">
        <f t="shared" si="48"/>
        <v>0</v>
      </c>
      <c r="K106" s="52">
        <f t="shared" si="48"/>
        <v>0</v>
      </c>
      <c r="L106" s="875"/>
      <c r="M106" s="875"/>
      <c r="N106" s="52">
        <f t="shared" si="49"/>
        <v>0</v>
      </c>
      <c r="O106" s="52">
        <f t="shared" si="49"/>
        <v>1</v>
      </c>
      <c r="P106" s="52">
        <f t="shared" si="49"/>
        <v>0</v>
      </c>
      <c r="Q106" s="52">
        <f t="shared" si="49"/>
        <v>0.032760000000000004</v>
      </c>
      <c r="R106" s="52">
        <f t="shared" si="49"/>
        <v>0</v>
      </c>
      <c r="S106" s="52">
        <f t="shared" si="49"/>
        <v>0.022932</v>
      </c>
      <c r="T106" s="52">
        <f t="shared" si="49"/>
        <v>0.009828000000000002</v>
      </c>
      <c r="V106" s="25"/>
      <c r="W106" s="25"/>
      <c r="X106" s="25"/>
      <c r="Y106" s="25"/>
    </row>
    <row r="107" spans="1:25" ht="15">
      <c r="A107" s="902"/>
      <c r="B107" s="895"/>
      <c r="C107" s="895"/>
      <c r="D107" s="41" t="s">
        <v>378</v>
      </c>
      <c r="E107" s="52">
        <f>SUM(E102:E106)</f>
        <v>1.9849999999999999</v>
      </c>
      <c r="F107" s="52">
        <f aca="true" t="shared" si="50" ref="F107:K107">SUM(F102:F106)</f>
        <v>0</v>
      </c>
      <c r="G107" s="52">
        <f t="shared" si="50"/>
        <v>0.985</v>
      </c>
      <c r="H107" s="52">
        <f t="shared" si="50"/>
        <v>1</v>
      </c>
      <c r="I107" s="52">
        <f t="shared" si="50"/>
        <v>0</v>
      </c>
      <c r="J107" s="52">
        <f t="shared" si="50"/>
        <v>0</v>
      </c>
      <c r="K107" s="52">
        <f t="shared" si="50"/>
        <v>0</v>
      </c>
      <c r="L107" s="875"/>
      <c r="M107" s="875"/>
      <c r="N107" s="52">
        <f aca="true" t="shared" si="51" ref="N107:T107">SUM(N102:N106)</f>
        <v>0.208425</v>
      </c>
      <c r="O107" s="52">
        <f t="shared" si="51"/>
        <v>5.5</v>
      </c>
      <c r="P107" s="52">
        <f t="shared" si="51"/>
        <v>0</v>
      </c>
      <c r="Q107" s="52">
        <f t="shared" si="51"/>
        <v>0.36787564500000003</v>
      </c>
      <c r="R107" s="52">
        <f t="shared" si="51"/>
        <v>0.1828185</v>
      </c>
      <c r="S107" s="52">
        <f t="shared" si="51"/>
        <v>0.1295400015</v>
      </c>
      <c r="T107" s="52">
        <f t="shared" si="51"/>
        <v>0.05551714350000001</v>
      </c>
      <c r="V107" s="25"/>
      <c r="W107" s="25"/>
      <c r="X107" s="25"/>
      <c r="Y107" s="25"/>
    </row>
    <row r="108" spans="1:25" ht="15" hidden="1">
      <c r="A108" s="901"/>
      <c r="B108" s="901"/>
      <c r="C108" s="901"/>
      <c r="D108" s="901"/>
      <c r="E108" s="901"/>
      <c r="F108" s="901"/>
      <c r="G108" s="901"/>
      <c r="H108" s="901"/>
      <c r="I108" s="901"/>
      <c r="J108" s="901"/>
      <c r="K108" s="901"/>
      <c r="L108" s="901"/>
      <c r="M108" s="901"/>
      <c r="N108" s="901"/>
      <c r="O108" s="901"/>
      <c r="P108" s="901"/>
      <c r="Q108" s="901"/>
      <c r="R108" s="901"/>
      <c r="S108" s="901"/>
      <c r="T108" s="901"/>
      <c r="V108" s="25"/>
      <c r="W108" s="25"/>
      <c r="X108" s="25"/>
      <c r="Y108" s="25"/>
    </row>
    <row r="109" spans="1:20" ht="15" customHeight="1">
      <c r="A109" s="897">
        <v>15</v>
      </c>
      <c r="B109" s="898" t="s">
        <v>546</v>
      </c>
      <c r="C109" s="899"/>
      <c r="D109" s="129" t="s">
        <v>570</v>
      </c>
      <c r="E109" s="77">
        <f aca="true" t="shared" si="52" ref="E109:K109">SUM(E110:E114)</f>
        <v>1</v>
      </c>
      <c r="F109" s="77">
        <f t="shared" si="52"/>
        <v>0</v>
      </c>
      <c r="G109" s="77">
        <f t="shared" si="52"/>
        <v>0.5</v>
      </c>
      <c r="H109" s="77">
        <f t="shared" si="52"/>
        <v>0.5</v>
      </c>
      <c r="I109" s="77">
        <f t="shared" si="52"/>
        <v>0</v>
      </c>
      <c r="J109" s="77">
        <f t="shared" si="52"/>
        <v>0</v>
      </c>
      <c r="K109" s="77">
        <f t="shared" si="52"/>
        <v>0</v>
      </c>
      <c r="L109" s="892" t="s">
        <v>463</v>
      </c>
      <c r="M109" s="892" t="s">
        <v>566</v>
      </c>
      <c r="N109" s="379">
        <f aca="true" t="shared" si="53" ref="N109:T109">SUM(N110:N114)</f>
        <v>0.105</v>
      </c>
      <c r="O109" s="380">
        <f t="shared" si="53"/>
        <v>0.5</v>
      </c>
      <c r="P109" s="380"/>
      <c r="Q109" s="379">
        <f t="shared" si="53"/>
        <v>0.11093700000000001</v>
      </c>
      <c r="R109" s="379">
        <f t="shared" si="53"/>
        <v>0.0921</v>
      </c>
      <c r="S109" s="381">
        <f t="shared" si="53"/>
        <v>0.013185899999999999</v>
      </c>
      <c r="T109" s="381">
        <f t="shared" si="53"/>
        <v>0.0056511</v>
      </c>
    </row>
    <row r="110" spans="1:20" ht="15">
      <c r="A110" s="897"/>
      <c r="B110" s="898"/>
      <c r="C110" s="899"/>
      <c r="D110" s="31">
        <v>2010</v>
      </c>
      <c r="E110" s="26">
        <f>SUM(F110:K110)</f>
        <v>1</v>
      </c>
      <c r="F110" s="26"/>
      <c r="G110" s="257">
        <v>0.5</v>
      </c>
      <c r="H110" s="257">
        <v>0.5</v>
      </c>
      <c r="I110" s="257"/>
      <c r="J110" s="257"/>
      <c r="K110" s="57"/>
      <c r="L110" s="892"/>
      <c r="M110" s="892"/>
      <c r="N110" s="98">
        <f>E110*0.7*0.15</f>
        <v>0.105</v>
      </c>
      <c r="O110" s="88">
        <f>E110/2</f>
        <v>0.5</v>
      </c>
      <c r="P110" s="29"/>
      <c r="Q110" s="58">
        <f>SUM(R110:T110)</f>
        <v>0.11093700000000001</v>
      </c>
      <c r="R110" s="34">
        <f>E110*0.5*0.18+N110*0.02</f>
        <v>0.0921</v>
      </c>
      <c r="S110" s="101">
        <f>(N110*0.18+(O110*12*21/1000))*0.13*0.7</f>
        <v>0.013185899999999999</v>
      </c>
      <c r="T110" s="101">
        <f>(N110*0.18+(O110*12*21/1000))*0.13*0.3</f>
        <v>0.0056511</v>
      </c>
    </row>
    <row r="111" spans="1:20" ht="15">
      <c r="A111" s="897"/>
      <c r="B111" s="898"/>
      <c r="C111" s="899"/>
      <c r="D111" s="31">
        <v>2011</v>
      </c>
      <c r="E111" s="26">
        <f>SUM(F111:K111)</f>
        <v>0</v>
      </c>
      <c r="F111" s="26"/>
      <c r="G111" s="257"/>
      <c r="H111" s="257"/>
      <c r="I111" s="257"/>
      <c r="J111" s="257"/>
      <c r="K111" s="57"/>
      <c r="L111" s="892"/>
      <c r="M111" s="892"/>
      <c r="N111" s="99">
        <f>E111*0.7*0.15</f>
        <v>0</v>
      </c>
      <c r="O111" s="100">
        <f>E111/2</f>
        <v>0</v>
      </c>
      <c r="P111" s="29"/>
      <c r="Q111" s="58">
        <f>SUM(R111:T111)</f>
        <v>0</v>
      </c>
      <c r="R111" s="34">
        <f>E111*0.5*0.18+N111*0.02</f>
        <v>0</v>
      </c>
      <c r="S111" s="101">
        <f>(N111*0.18+(O111*12*21/1000))*0.13*0.7</f>
        <v>0</v>
      </c>
      <c r="T111" s="101">
        <f>(N111*0.18+(O111*12*21/1000))*0.13*0.3</f>
        <v>0</v>
      </c>
    </row>
    <row r="112" spans="1:20" ht="15">
      <c r="A112" s="897"/>
      <c r="B112" s="898"/>
      <c r="C112" s="899"/>
      <c r="D112" s="31">
        <v>2012</v>
      </c>
      <c r="E112" s="26">
        <f>SUM(F112:K112)</f>
        <v>0</v>
      </c>
      <c r="F112" s="26"/>
      <c r="G112" s="257"/>
      <c r="H112" s="257"/>
      <c r="I112" s="257"/>
      <c r="J112" s="257"/>
      <c r="K112" s="57"/>
      <c r="L112" s="892"/>
      <c r="M112" s="892"/>
      <c r="N112" s="99">
        <f>E112*0.7*0.15</f>
        <v>0</v>
      </c>
      <c r="O112" s="100">
        <f>E112/2</f>
        <v>0</v>
      </c>
      <c r="P112" s="29"/>
      <c r="Q112" s="58">
        <f>SUM(R112:T112)</f>
        <v>0</v>
      </c>
      <c r="R112" s="34">
        <f>E112*0.5*0.18+N112*0.02</f>
        <v>0</v>
      </c>
      <c r="S112" s="101">
        <f>(N112*0.18+(O112*12*21/1000))*0.13*0.7</f>
        <v>0</v>
      </c>
      <c r="T112" s="101">
        <f>(N112*0.18+(O112*12*21/1000))*0.13*0.3</f>
        <v>0</v>
      </c>
    </row>
    <row r="113" spans="1:20" ht="15">
      <c r="A113" s="897"/>
      <c r="B113" s="898"/>
      <c r="C113" s="899"/>
      <c r="D113" s="31">
        <v>2013</v>
      </c>
      <c r="E113" s="26">
        <f>SUM(F113:K113)</f>
        <v>0</v>
      </c>
      <c r="F113" s="26"/>
      <c r="G113" s="257"/>
      <c r="H113" s="257"/>
      <c r="I113" s="257"/>
      <c r="J113" s="257"/>
      <c r="K113" s="57"/>
      <c r="L113" s="892"/>
      <c r="M113" s="892"/>
      <c r="N113" s="99">
        <f>E113*0.7*0.15</f>
        <v>0</v>
      </c>
      <c r="O113" s="100">
        <f>E113/2</f>
        <v>0</v>
      </c>
      <c r="P113" s="29"/>
      <c r="Q113" s="58">
        <f>SUM(R113:T113)</f>
        <v>0</v>
      </c>
      <c r="R113" s="34">
        <f>E113*0.5*0.18+N113*0.02</f>
        <v>0</v>
      </c>
      <c r="S113" s="101">
        <f>(N113*0.18+(O113*12*21/1000))*0.13*0.7</f>
        <v>0</v>
      </c>
      <c r="T113" s="101">
        <f>(N113*0.18+(O113*12*21/1000))*0.13*0.3</f>
        <v>0</v>
      </c>
    </row>
    <row r="114" spans="1:20" ht="15">
      <c r="A114" s="897"/>
      <c r="B114" s="898"/>
      <c r="C114" s="899"/>
      <c r="D114" s="31">
        <v>2014</v>
      </c>
      <c r="E114" s="26">
        <f>SUM(F114:K114)</f>
        <v>0</v>
      </c>
      <c r="F114" s="26"/>
      <c r="G114" s="257"/>
      <c r="H114" s="257"/>
      <c r="I114" s="257"/>
      <c r="J114" s="257"/>
      <c r="K114" s="57"/>
      <c r="L114" s="892"/>
      <c r="M114" s="892"/>
      <c r="N114" s="99">
        <f>E114*0.7*0.15</f>
        <v>0</v>
      </c>
      <c r="O114" s="100">
        <f>E114/2</f>
        <v>0</v>
      </c>
      <c r="P114" s="29"/>
      <c r="Q114" s="58">
        <f>SUM(R114:T114)</f>
        <v>0</v>
      </c>
      <c r="R114" s="34">
        <f>E114*0.5*0.18+N114*0.02</f>
        <v>0</v>
      </c>
      <c r="S114" s="101">
        <f>(N114*0.18+(O114*12*21/1000))*0.13*0.7</f>
        <v>0</v>
      </c>
      <c r="T114" s="101">
        <f>(N114*0.18+(O114*12*21/1000))*0.13*0.3</f>
        <v>0</v>
      </c>
    </row>
    <row r="115" spans="1:20" ht="15" customHeight="1">
      <c r="A115" s="897">
        <f>A109+1</f>
        <v>16</v>
      </c>
      <c r="B115" s="898" t="s">
        <v>547</v>
      </c>
      <c r="C115" s="899"/>
      <c r="D115" s="129" t="s">
        <v>570</v>
      </c>
      <c r="E115" s="26">
        <f aca="true" t="shared" si="54" ref="E115:E120">SUM(F115:K115)</f>
        <v>0.985</v>
      </c>
      <c r="F115" s="77">
        <f aca="true" t="shared" si="55" ref="F115:K115">SUM(F116:F120)</f>
        <v>0</v>
      </c>
      <c r="G115" s="77">
        <f t="shared" si="55"/>
        <v>0.485</v>
      </c>
      <c r="H115" s="77">
        <f t="shared" si="55"/>
        <v>0.5</v>
      </c>
      <c r="I115" s="77">
        <f t="shared" si="55"/>
        <v>0</v>
      </c>
      <c r="J115" s="77">
        <f t="shared" si="55"/>
        <v>0</v>
      </c>
      <c r="K115" s="77">
        <f t="shared" si="55"/>
        <v>0</v>
      </c>
      <c r="L115" s="892" t="s">
        <v>463</v>
      </c>
      <c r="M115" s="892"/>
      <c r="N115" s="379">
        <f aca="true" t="shared" si="56" ref="N115:T115">SUM(N116:N120)</f>
        <v>0.103425</v>
      </c>
      <c r="O115" s="380">
        <f t="shared" si="56"/>
        <v>5</v>
      </c>
      <c r="P115" s="380"/>
      <c r="Q115" s="379">
        <f t="shared" si="56"/>
        <v>0.256938645</v>
      </c>
      <c r="R115" s="379">
        <f t="shared" si="56"/>
        <v>0.0907185</v>
      </c>
      <c r="S115" s="381">
        <f t="shared" si="56"/>
        <v>0.1163541015</v>
      </c>
      <c r="T115" s="381">
        <f t="shared" si="56"/>
        <v>0.04986604350000001</v>
      </c>
    </row>
    <row r="116" spans="1:20" ht="15">
      <c r="A116" s="897"/>
      <c r="B116" s="898"/>
      <c r="C116" s="899"/>
      <c r="D116" s="31">
        <v>2010</v>
      </c>
      <c r="E116" s="26">
        <f t="shared" si="54"/>
        <v>0.985</v>
      </c>
      <c r="F116" s="26"/>
      <c r="G116" s="257">
        <v>0.485</v>
      </c>
      <c r="H116" s="257">
        <v>0.5</v>
      </c>
      <c r="I116" s="257"/>
      <c r="J116" s="257"/>
      <c r="K116" s="57"/>
      <c r="L116" s="892"/>
      <c r="M116" s="892"/>
      <c r="N116" s="98">
        <f>E116*0.7*0.15</f>
        <v>0.103425</v>
      </c>
      <c r="O116" s="88">
        <v>1</v>
      </c>
      <c r="P116" s="29"/>
      <c r="Q116" s="58">
        <f>SUM(R116:T116)</f>
        <v>0.12589864499999998</v>
      </c>
      <c r="R116" s="34">
        <f>E116*0.5*0.18+N116*0.02</f>
        <v>0.0907185</v>
      </c>
      <c r="S116" s="101">
        <f>(N116*0.18+(O116*12*21/1000))*0.13*0.7</f>
        <v>0.024626101499999997</v>
      </c>
      <c r="T116" s="101">
        <f>(N116*0.18+(O116*12*21/1000))*0.13*0.3</f>
        <v>0.010554043499999999</v>
      </c>
    </row>
    <row r="117" spans="1:20" ht="15">
      <c r="A117" s="897"/>
      <c r="B117" s="898"/>
      <c r="C117" s="899"/>
      <c r="D117" s="31">
        <v>2011</v>
      </c>
      <c r="E117" s="26">
        <f t="shared" si="54"/>
        <v>0</v>
      </c>
      <c r="F117" s="26"/>
      <c r="G117" s="257"/>
      <c r="H117" s="257"/>
      <c r="I117" s="257"/>
      <c r="J117" s="257"/>
      <c r="K117" s="57"/>
      <c r="L117" s="892"/>
      <c r="M117" s="892"/>
      <c r="N117" s="99">
        <f>E117*0.7*0.15</f>
        <v>0</v>
      </c>
      <c r="O117" s="88">
        <v>1</v>
      </c>
      <c r="P117" s="29"/>
      <c r="Q117" s="58">
        <f>SUM(R117:T117)</f>
        <v>0.032760000000000004</v>
      </c>
      <c r="R117" s="34">
        <f>E117*0.5*0.18+N117*0.02</f>
        <v>0</v>
      </c>
      <c r="S117" s="101">
        <f>(N117*0.18+(O117*12*21/1000))*0.13*0.7</f>
        <v>0.022932</v>
      </c>
      <c r="T117" s="101">
        <f>(N117*0.18+(O117*12*21/1000))*0.13*0.3</f>
        <v>0.009828000000000002</v>
      </c>
    </row>
    <row r="118" spans="1:20" ht="15">
      <c r="A118" s="897"/>
      <c r="B118" s="898"/>
      <c r="C118" s="899"/>
      <c r="D118" s="31">
        <v>2012</v>
      </c>
      <c r="E118" s="26">
        <f t="shared" si="54"/>
        <v>0</v>
      </c>
      <c r="F118" s="26"/>
      <c r="G118" s="257"/>
      <c r="H118" s="257"/>
      <c r="I118" s="257"/>
      <c r="J118" s="257"/>
      <c r="K118" s="57"/>
      <c r="L118" s="892"/>
      <c r="M118" s="892"/>
      <c r="N118" s="99">
        <f>E118*0.7*0.15</f>
        <v>0</v>
      </c>
      <c r="O118" s="88">
        <v>1</v>
      </c>
      <c r="P118" s="29"/>
      <c r="Q118" s="58">
        <f>SUM(R118:T118)</f>
        <v>0.032760000000000004</v>
      </c>
      <c r="R118" s="34">
        <f>E118*0.5*0.18+N118*0.02</f>
        <v>0</v>
      </c>
      <c r="S118" s="101">
        <f>(N118*0.18+(O118*12*21/1000))*0.13*0.7</f>
        <v>0.022932</v>
      </c>
      <c r="T118" s="101">
        <f>(N118*0.18+(O118*12*21/1000))*0.13*0.3</f>
        <v>0.009828000000000002</v>
      </c>
    </row>
    <row r="119" spans="1:20" ht="15">
      <c r="A119" s="897"/>
      <c r="B119" s="898"/>
      <c r="C119" s="899"/>
      <c r="D119" s="31">
        <v>2013</v>
      </c>
      <c r="E119" s="26">
        <f t="shared" si="54"/>
        <v>0</v>
      </c>
      <c r="F119" s="26"/>
      <c r="G119" s="257"/>
      <c r="H119" s="257"/>
      <c r="I119" s="257"/>
      <c r="J119" s="257"/>
      <c r="K119" s="57"/>
      <c r="L119" s="892"/>
      <c r="M119" s="892"/>
      <c r="N119" s="99">
        <f>E119*0.7*0.15</f>
        <v>0</v>
      </c>
      <c r="O119" s="88">
        <v>1</v>
      </c>
      <c r="P119" s="29"/>
      <c r="Q119" s="58">
        <f>SUM(R119:T119)</f>
        <v>0.032760000000000004</v>
      </c>
      <c r="R119" s="34">
        <f>E119*0.5*0.18+N119*0.02</f>
        <v>0</v>
      </c>
      <c r="S119" s="101">
        <f>(N119*0.18+(O119*12*21/1000))*0.13*0.7</f>
        <v>0.022932</v>
      </c>
      <c r="T119" s="101">
        <f>(N119*0.18+(O119*12*21/1000))*0.13*0.3</f>
        <v>0.009828000000000002</v>
      </c>
    </row>
    <row r="120" spans="1:20" ht="15">
      <c r="A120" s="897"/>
      <c r="B120" s="898"/>
      <c r="C120" s="899"/>
      <c r="D120" s="31">
        <v>2014</v>
      </c>
      <c r="E120" s="26">
        <f t="shared" si="54"/>
        <v>0</v>
      </c>
      <c r="F120" s="26"/>
      <c r="G120" s="257"/>
      <c r="H120" s="257"/>
      <c r="I120" s="257"/>
      <c r="J120" s="257"/>
      <c r="K120" s="57"/>
      <c r="L120" s="892"/>
      <c r="M120" s="892"/>
      <c r="N120" s="99">
        <f>E120*0.7*0.15</f>
        <v>0</v>
      </c>
      <c r="O120" s="88">
        <v>1</v>
      </c>
      <c r="P120" s="29"/>
      <c r="Q120" s="58">
        <f>SUM(R120:T120)</f>
        <v>0.032760000000000004</v>
      </c>
      <c r="R120" s="34">
        <f>E120*0.5*0.18+N120*0.02</f>
        <v>0</v>
      </c>
      <c r="S120" s="101">
        <f>(N120*0.18+(O120*12*21/1000))*0.13*0.7</f>
        <v>0.022932</v>
      </c>
      <c r="T120" s="101">
        <f>(N120*0.18+(O120*12*21/1000))*0.13*0.3</f>
        <v>0.009828000000000002</v>
      </c>
    </row>
    <row r="121" spans="1:20" ht="15" hidden="1">
      <c r="A121" s="896"/>
      <c r="B121" s="896"/>
      <c r="C121" s="896"/>
      <c r="D121" s="896"/>
      <c r="E121" s="896"/>
      <c r="F121" s="896"/>
      <c r="G121" s="896"/>
      <c r="H121" s="896"/>
      <c r="I121" s="896"/>
      <c r="J121" s="896"/>
      <c r="K121" s="896"/>
      <c r="L121" s="896"/>
      <c r="M121" s="896"/>
      <c r="N121" s="896"/>
      <c r="O121" s="896"/>
      <c r="P121" s="896"/>
      <c r="Q121" s="896"/>
      <c r="R121" s="896"/>
      <c r="S121" s="896"/>
      <c r="T121" s="896"/>
    </row>
    <row r="122" spans="1:20" ht="15.75">
      <c r="A122" s="894" t="s">
        <v>128</v>
      </c>
      <c r="B122" s="894"/>
      <c r="C122" s="894"/>
      <c r="D122" s="894"/>
      <c r="E122" s="894"/>
      <c r="F122" s="894"/>
      <c r="G122" s="894"/>
      <c r="H122" s="894"/>
      <c r="I122" s="894"/>
      <c r="J122" s="894"/>
      <c r="K122" s="894"/>
      <c r="L122" s="894"/>
      <c r="M122" s="894"/>
      <c r="N122" s="894"/>
      <c r="O122" s="894"/>
      <c r="P122" s="894"/>
      <c r="Q122" s="894"/>
      <c r="R122" s="894"/>
      <c r="S122" s="894"/>
      <c r="T122" s="894"/>
    </row>
    <row r="123" spans="1:20" ht="15">
      <c r="A123" s="873"/>
      <c r="B123" s="895" t="s">
        <v>646</v>
      </c>
      <c r="C123" s="895"/>
      <c r="D123" s="41">
        <v>2010</v>
      </c>
      <c r="E123" s="52">
        <f aca="true" t="shared" si="57" ref="E123:K124">E130+E149+E162+E170</f>
        <v>68.3</v>
      </c>
      <c r="F123" s="52">
        <f t="shared" si="57"/>
        <v>13.5</v>
      </c>
      <c r="G123" s="52">
        <f t="shared" si="57"/>
        <v>0.7</v>
      </c>
      <c r="H123" s="52">
        <f t="shared" si="57"/>
        <v>4</v>
      </c>
      <c r="I123" s="52">
        <f t="shared" si="57"/>
        <v>0.1</v>
      </c>
      <c r="J123" s="52">
        <f t="shared" si="57"/>
        <v>0</v>
      </c>
      <c r="K123" s="52">
        <f t="shared" si="57"/>
        <v>50</v>
      </c>
      <c r="L123" s="875"/>
      <c r="M123" s="875"/>
      <c r="N123" s="82">
        <f aca="true" t="shared" si="58" ref="N123:O128">N130+N149+N162</f>
        <v>6.982499999999998</v>
      </c>
      <c r="O123" s="82">
        <f t="shared" si="58"/>
        <v>159.1</v>
      </c>
      <c r="P123" s="82"/>
      <c r="Q123" s="52">
        <f aca="true" t="shared" si="59" ref="Q123:T128">Q130+Q149+Q162</f>
        <v>11.518156499999998</v>
      </c>
      <c r="R123" s="52">
        <f t="shared" si="59"/>
        <v>6.142649999999999</v>
      </c>
      <c r="S123" s="52">
        <f t="shared" si="59"/>
        <v>3.7628545499999997</v>
      </c>
      <c r="T123" s="52">
        <f t="shared" si="59"/>
        <v>1.6126519499999998</v>
      </c>
    </row>
    <row r="124" spans="1:20" ht="15">
      <c r="A124" s="873"/>
      <c r="B124" s="895"/>
      <c r="C124" s="895"/>
      <c r="D124" s="41">
        <v>2011</v>
      </c>
      <c r="E124" s="52">
        <f t="shared" si="57"/>
        <v>33.6</v>
      </c>
      <c r="F124" s="52">
        <f t="shared" si="57"/>
        <v>0</v>
      </c>
      <c r="G124" s="52">
        <f t="shared" si="57"/>
        <v>0</v>
      </c>
      <c r="H124" s="52">
        <f t="shared" si="57"/>
        <v>3.5</v>
      </c>
      <c r="I124" s="52">
        <f t="shared" si="57"/>
        <v>0.1</v>
      </c>
      <c r="J124" s="52">
        <f t="shared" si="57"/>
        <v>0</v>
      </c>
      <c r="K124" s="52">
        <f t="shared" si="57"/>
        <v>30</v>
      </c>
      <c r="L124" s="875"/>
      <c r="M124" s="875"/>
      <c r="N124" s="82">
        <f t="shared" si="58"/>
        <v>3.3494999999999995</v>
      </c>
      <c r="O124" s="82">
        <f t="shared" si="58"/>
        <v>15.95</v>
      </c>
      <c r="P124" s="82"/>
      <c r="Q124" s="52">
        <f t="shared" si="59"/>
        <v>3.5478902999999993</v>
      </c>
      <c r="R124" s="52">
        <f t="shared" si="59"/>
        <v>2.9469899999999996</v>
      </c>
      <c r="S124" s="52">
        <f t="shared" si="59"/>
        <v>0.42063020999999984</v>
      </c>
      <c r="T124" s="52">
        <f t="shared" si="59"/>
        <v>0.18027008999999994</v>
      </c>
    </row>
    <row r="125" spans="1:20" ht="15">
      <c r="A125" s="873"/>
      <c r="B125" s="895"/>
      <c r="C125" s="895"/>
      <c r="D125" s="42">
        <v>2012</v>
      </c>
      <c r="E125" s="52">
        <f aca="true" t="shared" si="60" ref="E125:K128">E132+E151+E164</f>
        <v>0</v>
      </c>
      <c r="F125" s="52">
        <f t="shared" si="60"/>
        <v>0</v>
      </c>
      <c r="G125" s="52">
        <f t="shared" si="60"/>
        <v>0</v>
      </c>
      <c r="H125" s="52">
        <f t="shared" si="60"/>
        <v>0</v>
      </c>
      <c r="I125" s="52">
        <f t="shared" si="60"/>
        <v>0</v>
      </c>
      <c r="J125" s="52">
        <f t="shared" si="60"/>
        <v>0</v>
      </c>
      <c r="K125" s="52">
        <f t="shared" si="60"/>
        <v>0</v>
      </c>
      <c r="L125" s="875"/>
      <c r="M125" s="875"/>
      <c r="N125" s="82">
        <f t="shared" si="58"/>
        <v>0</v>
      </c>
      <c r="O125" s="82">
        <f t="shared" si="58"/>
        <v>0</v>
      </c>
      <c r="P125" s="82"/>
      <c r="Q125" s="52">
        <f t="shared" si="59"/>
        <v>0</v>
      </c>
      <c r="R125" s="52">
        <f t="shared" si="59"/>
        <v>0</v>
      </c>
      <c r="S125" s="52">
        <f t="shared" si="59"/>
        <v>0</v>
      </c>
      <c r="T125" s="52">
        <f t="shared" si="59"/>
        <v>0</v>
      </c>
    </row>
    <row r="126" spans="1:20" ht="15">
      <c r="A126" s="873"/>
      <c r="B126" s="895"/>
      <c r="C126" s="895"/>
      <c r="D126" s="42">
        <v>2013</v>
      </c>
      <c r="E126" s="52">
        <f t="shared" si="60"/>
        <v>0</v>
      </c>
      <c r="F126" s="52">
        <f t="shared" si="60"/>
        <v>0</v>
      </c>
      <c r="G126" s="52">
        <f t="shared" si="60"/>
        <v>0</v>
      </c>
      <c r="H126" s="52">
        <f t="shared" si="60"/>
        <v>0</v>
      </c>
      <c r="I126" s="52">
        <f t="shared" si="60"/>
        <v>0</v>
      </c>
      <c r="J126" s="52">
        <f t="shared" si="60"/>
        <v>0</v>
      </c>
      <c r="K126" s="52">
        <f t="shared" si="60"/>
        <v>0</v>
      </c>
      <c r="L126" s="875"/>
      <c r="M126" s="875"/>
      <c r="N126" s="82">
        <f t="shared" si="58"/>
        <v>0</v>
      </c>
      <c r="O126" s="82">
        <f t="shared" si="58"/>
        <v>0</v>
      </c>
      <c r="P126" s="82"/>
      <c r="Q126" s="52">
        <f t="shared" si="59"/>
        <v>0</v>
      </c>
      <c r="R126" s="52">
        <f t="shared" si="59"/>
        <v>0</v>
      </c>
      <c r="S126" s="52">
        <f t="shared" si="59"/>
        <v>0</v>
      </c>
      <c r="T126" s="52">
        <f t="shared" si="59"/>
        <v>0</v>
      </c>
    </row>
    <row r="127" spans="1:20" ht="15">
      <c r="A127" s="873"/>
      <c r="B127" s="895"/>
      <c r="C127" s="895"/>
      <c r="D127" s="42">
        <v>2014</v>
      </c>
      <c r="E127" s="52">
        <f t="shared" si="60"/>
        <v>0</v>
      </c>
      <c r="F127" s="52">
        <f t="shared" si="60"/>
        <v>0</v>
      </c>
      <c r="G127" s="52">
        <f t="shared" si="60"/>
        <v>0</v>
      </c>
      <c r="H127" s="52">
        <f t="shared" si="60"/>
        <v>0</v>
      </c>
      <c r="I127" s="52">
        <f t="shared" si="60"/>
        <v>0</v>
      </c>
      <c r="J127" s="52">
        <f t="shared" si="60"/>
        <v>0</v>
      </c>
      <c r="K127" s="52">
        <f t="shared" si="60"/>
        <v>0</v>
      </c>
      <c r="L127" s="875"/>
      <c r="M127" s="875"/>
      <c r="N127" s="82">
        <f t="shared" si="58"/>
        <v>0</v>
      </c>
      <c r="O127" s="82">
        <f t="shared" si="58"/>
        <v>0</v>
      </c>
      <c r="P127" s="82"/>
      <c r="Q127" s="52">
        <f t="shared" si="59"/>
        <v>0</v>
      </c>
      <c r="R127" s="52">
        <f t="shared" si="59"/>
        <v>0</v>
      </c>
      <c r="S127" s="52">
        <f t="shared" si="59"/>
        <v>0</v>
      </c>
      <c r="T127" s="52">
        <f t="shared" si="59"/>
        <v>0</v>
      </c>
    </row>
    <row r="128" spans="1:20" ht="15">
      <c r="A128" s="873"/>
      <c r="B128" s="895"/>
      <c r="C128" s="895"/>
      <c r="D128" s="41" t="s">
        <v>378</v>
      </c>
      <c r="E128" s="52">
        <f t="shared" si="60"/>
        <v>98.7</v>
      </c>
      <c r="F128" s="52">
        <f t="shared" si="60"/>
        <v>13.5</v>
      </c>
      <c r="G128" s="52">
        <f t="shared" si="60"/>
        <v>0.7</v>
      </c>
      <c r="H128" s="52">
        <f t="shared" si="60"/>
        <v>4.299999999999999</v>
      </c>
      <c r="I128" s="52">
        <f t="shared" si="60"/>
        <v>0.2</v>
      </c>
      <c r="J128" s="52">
        <f t="shared" si="60"/>
        <v>0</v>
      </c>
      <c r="K128" s="52">
        <f t="shared" si="60"/>
        <v>80</v>
      </c>
      <c r="L128" s="875"/>
      <c r="M128" s="875"/>
      <c r="N128" s="82">
        <f t="shared" si="58"/>
        <v>10.331999999999997</v>
      </c>
      <c r="O128" s="82">
        <f t="shared" si="58"/>
        <v>175.04999999999998</v>
      </c>
      <c r="P128" s="82"/>
      <c r="Q128" s="52">
        <f t="shared" si="59"/>
        <v>15.066046799999999</v>
      </c>
      <c r="R128" s="52">
        <f t="shared" si="59"/>
        <v>9.089639999999997</v>
      </c>
      <c r="S128" s="52">
        <f t="shared" si="59"/>
        <v>4.18348476</v>
      </c>
      <c r="T128" s="52">
        <f t="shared" si="59"/>
        <v>1.7929220399999997</v>
      </c>
    </row>
    <row r="129" spans="1:20" ht="15" customHeight="1">
      <c r="A129" s="881" t="s">
        <v>129</v>
      </c>
      <c r="B129" s="881"/>
      <c r="C129" s="881"/>
      <c r="D129" s="881"/>
      <c r="E129" s="881"/>
      <c r="F129" s="881"/>
      <c r="G129" s="881"/>
      <c r="H129" s="881"/>
      <c r="I129" s="881"/>
      <c r="J129" s="881"/>
      <c r="K129" s="881"/>
      <c r="L129" s="881"/>
      <c r="M129" s="881"/>
      <c r="N129" s="881"/>
      <c r="O129" s="881"/>
      <c r="P129" s="881"/>
      <c r="Q129" s="881"/>
      <c r="R129" s="881"/>
      <c r="S129" s="881"/>
      <c r="T129" s="881"/>
    </row>
    <row r="130" spans="1:20" ht="15">
      <c r="A130" s="888"/>
      <c r="B130" s="885" t="s">
        <v>647</v>
      </c>
      <c r="C130" s="885"/>
      <c r="D130" s="22">
        <v>2010</v>
      </c>
      <c r="E130" s="60">
        <f>E137+E143</f>
        <v>66.5</v>
      </c>
      <c r="F130" s="60">
        <f aca="true" t="shared" si="61" ref="F130:K130">F137+F143</f>
        <v>13.5</v>
      </c>
      <c r="G130" s="60">
        <f t="shared" si="61"/>
        <v>0.7</v>
      </c>
      <c r="H130" s="60">
        <f t="shared" si="61"/>
        <v>2.3</v>
      </c>
      <c r="I130" s="60">
        <f t="shared" si="61"/>
        <v>0</v>
      </c>
      <c r="J130" s="60">
        <f t="shared" si="61"/>
        <v>0</v>
      </c>
      <c r="K130" s="60">
        <f t="shared" si="61"/>
        <v>50</v>
      </c>
      <c r="L130" s="889"/>
      <c r="M130" s="889"/>
      <c r="N130" s="102">
        <f>N137+N143</f>
        <v>6.982499999999998</v>
      </c>
      <c r="O130" s="102">
        <f aca="true" t="shared" si="62" ref="O130:T130">O137+O143</f>
        <v>157.1</v>
      </c>
      <c r="P130" s="102">
        <f t="shared" si="62"/>
        <v>158.1</v>
      </c>
      <c r="Q130" s="102">
        <f t="shared" si="62"/>
        <v>11.434636499999998</v>
      </c>
      <c r="R130" s="102">
        <f t="shared" si="62"/>
        <v>6.124649999999999</v>
      </c>
      <c r="S130" s="102">
        <f t="shared" si="62"/>
        <v>3.71699055</v>
      </c>
      <c r="T130" s="102">
        <f t="shared" si="62"/>
        <v>1.59299595</v>
      </c>
    </row>
    <row r="131" spans="1:20" ht="15">
      <c r="A131" s="888"/>
      <c r="B131" s="885"/>
      <c r="C131" s="885"/>
      <c r="D131" s="22">
        <v>2011</v>
      </c>
      <c r="E131" s="60">
        <f aca="true" t="shared" si="63" ref="E131:K134">E138+E144</f>
        <v>31.9</v>
      </c>
      <c r="F131" s="60">
        <f t="shared" si="63"/>
        <v>0</v>
      </c>
      <c r="G131" s="60">
        <f t="shared" si="63"/>
        <v>0</v>
      </c>
      <c r="H131" s="60">
        <f t="shared" si="63"/>
        <v>1.9</v>
      </c>
      <c r="I131" s="60">
        <f t="shared" si="63"/>
        <v>0</v>
      </c>
      <c r="J131" s="60">
        <f t="shared" si="63"/>
        <v>0</v>
      </c>
      <c r="K131" s="60">
        <f t="shared" si="63"/>
        <v>30</v>
      </c>
      <c r="L131" s="889"/>
      <c r="M131" s="889"/>
      <c r="N131" s="102">
        <f aca="true" t="shared" si="64" ref="N131:T134">N138+N144</f>
        <v>3.3494999999999995</v>
      </c>
      <c r="O131" s="102">
        <f t="shared" si="64"/>
        <v>15.95</v>
      </c>
      <c r="P131" s="102">
        <f t="shared" si="64"/>
        <v>15.95</v>
      </c>
      <c r="Q131" s="102">
        <f t="shared" si="64"/>
        <v>3.5388902999999994</v>
      </c>
      <c r="R131" s="102">
        <f t="shared" si="64"/>
        <v>2.9379899999999997</v>
      </c>
      <c r="S131" s="102">
        <f t="shared" si="64"/>
        <v>0.42063020999999984</v>
      </c>
      <c r="T131" s="102">
        <f t="shared" si="64"/>
        <v>0.18027008999999994</v>
      </c>
    </row>
    <row r="132" spans="1:20" ht="15">
      <c r="A132" s="888"/>
      <c r="B132" s="885"/>
      <c r="C132" s="885"/>
      <c r="D132" s="22">
        <v>2012</v>
      </c>
      <c r="E132" s="60">
        <f t="shared" si="63"/>
        <v>0</v>
      </c>
      <c r="F132" s="60">
        <f t="shared" si="63"/>
        <v>0</v>
      </c>
      <c r="G132" s="60">
        <f t="shared" si="63"/>
        <v>0</v>
      </c>
      <c r="H132" s="60">
        <f t="shared" si="63"/>
        <v>0</v>
      </c>
      <c r="I132" s="60">
        <f t="shared" si="63"/>
        <v>0</v>
      </c>
      <c r="J132" s="60">
        <f t="shared" si="63"/>
        <v>0</v>
      </c>
      <c r="K132" s="60">
        <f t="shared" si="63"/>
        <v>0</v>
      </c>
      <c r="L132" s="889"/>
      <c r="M132" s="889"/>
      <c r="N132" s="102">
        <f t="shared" si="64"/>
        <v>0</v>
      </c>
      <c r="O132" s="102">
        <f t="shared" si="64"/>
        <v>0</v>
      </c>
      <c r="P132" s="102">
        <f t="shared" si="64"/>
        <v>0</v>
      </c>
      <c r="Q132" s="102">
        <f t="shared" si="64"/>
        <v>0</v>
      </c>
      <c r="R132" s="102">
        <f t="shared" si="64"/>
        <v>0</v>
      </c>
      <c r="S132" s="102">
        <f t="shared" si="64"/>
        <v>0</v>
      </c>
      <c r="T132" s="102">
        <f t="shared" si="64"/>
        <v>0</v>
      </c>
    </row>
    <row r="133" spans="1:20" ht="15">
      <c r="A133" s="888"/>
      <c r="B133" s="885"/>
      <c r="C133" s="885"/>
      <c r="D133" s="22">
        <v>2013</v>
      </c>
      <c r="E133" s="60">
        <f t="shared" si="63"/>
        <v>0</v>
      </c>
      <c r="F133" s="60">
        <f t="shared" si="63"/>
        <v>0</v>
      </c>
      <c r="G133" s="60">
        <f t="shared" si="63"/>
        <v>0</v>
      </c>
      <c r="H133" s="60">
        <f t="shared" si="63"/>
        <v>0</v>
      </c>
      <c r="I133" s="60">
        <f t="shared" si="63"/>
        <v>0</v>
      </c>
      <c r="J133" s="60">
        <f t="shared" si="63"/>
        <v>0</v>
      </c>
      <c r="K133" s="60">
        <f t="shared" si="63"/>
        <v>0</v>
      </c>
      <c r="L133" s="889"/>
      <c r="M133" s="889"/>
      <c r="N133" s="102">
        <f t="shared" si="64"/>
        <v>0</v>
      </c>
      <c r="O133" s="102">
        <f t="shared" si="64"/>
        <v>0</v>
      </c>
      <c r="P133" s="102">
        <f t="shared" si="64"/>
        <v>0</v>
      </c>
      <c r="Q133" s="102">
        <f t="shared" si="64"/>
        <v>0</v>
      </c>
      <c r="R133" s="102">
        <f t="shared" si="64"/>
        <v>0</v>
      </c>
      <c r="S133" s="102">
        <f t="shared" si="64"/>
        <v>0</v>
      </c>
      <c r="T133" s="102">
        <f t="shared" si="64"/>
        <v>0</v>
      </c>
    </row>
    <row r="134" spans="1:20" ht="15">
      <c r="A134" s="888"/>
      <c r="B134" s="885"/>
      <c r="C134" s="885"/>
      <c r="D134" s="22">
        <v>2014</v>
      </c>
      <c r="E134" s="60">
        <f t="shared" si="63"/>
        <v>0</v>
      </c>
      <c r="F134" s="60">
        <f t="shared" si="63"/>
        <v>0</v>
      </c>
      <c r="G134" s="60">
        <f t="shared" si="63"/>
        <v>0</v>
      </c>
      <c r="H134" s="60">
        <f t="shared" si="63"/>
        <v>0</v>
      </c>
      <c r="I134" s="60">
        <f t="shared" si="63"/>
        <v>0</v>
      </c>
      <c r="J134" s="60">
        <f t="shared" si="63"/>
        <v>0</v>
      </c>
      <c r="K134" s="60">
        <f t="shared" si="63"/>
        <v>0</v>
      </c>
      <c r="L134" s="889"/>
      <c r="M134" s="889"/>
      <c r="N134" s="102">
        <f t="shared" si="64"/>
        <v>0</v>
      </c>
      <c r="O134" s="102">
        <f t="shared" si="64"/>
        <v>0</v>
      </c>
      <c r="P134" s="102">
        <f t="shared" si="64"/>
        <v>0</v>
      </c>
      <c r="Q134" s="102">
        <f t="shared" si="64"/>
        <v>0</v>
      </c>
      <c r="R134" s="102">
        <f t="shared" si="64"/>
        <v>0</v>
      </c>
      <c r="S134" s="102">
        <f t="shared" si="64"/>
        <v>0</v>
      </c>
      <c r="T134" s="102">
        <f t="shared" si="64"/>
        <v>0</v>
      </c>
    </row>
    <row r="135" spans="1:20" ht="15">
      <c r="A135" s="888"/>
      <c r="B135" s="885"/>
      <c r="C135" s="885"/>
      <c r="D135" s="22" t="s">
        <v>378</v>
      </c>
      <c r="E135" s="60">
        <f>SUM(E130:E134)</f>
        <v>98.4</v>
      </c>
      <c r="F135" s="60">
        <f aca="true" t="shared" si="65" ref="F135:K135">SUM(F130:F134)</f>
        <v>13.5</v>
      </c>
      <c r="G135" s="60">
        <f t="shared" si="65"/>
        <v>0.7</v>
      </c>
      <c r="H135" s="60">
        <f t="shared" si="65"/>
        <v>4.199999999999999</v>
      </c>
      <c r="I135" s="60">
        <f t="shared" si="65"/>
        <v>0</v>
      </c>
      <c r="J135" s="60">
        <f t="shared" si="65"/>
        <v>0</v>
      </c>
      <c r="K135" s="60">
        <f t="shared" si="65"/>
        <v>80</v>
      </c>
      <c r="L135" s="889"/>
      <c r="M135" s="889"/>
      <c r="N135" s="102">
        <f aca="true" t="shared" si="66" ref="N135:T135">SUM(N130:N134)</f>
        <v>10.331999999999997</v>
      </c>
      <c r="O135" s="102">
        <f t="shared" si="66"/>
        <v>173.04999999999998</v>
      </c>
      <c r="P135" s="102"/>
      <c r="Q135" s="60">
        <f t="shared" si="66"/>
        <v>14.973526799999998</v>
      </c>
      <c r="R135" s="60">
        <f t="shared" si="66"/>
        <v>9.062639999999998</v>
      </c>
      <c r="S135" s="60">
        <f t="shared" si="66"/>
        <v>4.13762076</v>
      </c>
      <c r="T135" s="60">
        <f t="shared" si="66"/>
        <v>1.7732660399999998</v>
      </c>
    </row>
    <row r="136" spans="1:20" ht="20.25" customHeight="1">
      <c r="A136" s="866">
        <v>17</v>
      </c>
      <c r="B136" s="882" t="s">
        <v>138</v>
      </c>
      <c r="C136" s="893" t="s">
        <v>648</v>
      </c>
      <c r="D136" s="129" t="s">
        <v>570</v>
      </c>
      <c r="E136" s="57">
        <f aca="true" t="shared" si="67" ref="E136:K136">SUM(E137:E141)</f>
        <v>14.2</v>
      </c>
      <c r="F136" s="57">
        <f t="shared" si="67"/>
        <v>13.5</v>
      </c>
      <c r="G136" s="57">
        <f t="shared" si="67"/>
        <v>0.7</v>
      </c>
      <c r="H136" s="57">
        <f t="shared" si="67"/>
        <v>0</v>
      </c>
      <c r="I136" s="57">
        <f t="shared" si="67"/>
        <v>0</v>
      </c>
      <c r="J136" s="57">
        <f t="shared" si="67"/>
        <v>0</v>
      </c>
      <c r="K136" s="57">
        <f t="shared" si="67"/>
        <v>0</v>
      </c>
      <c r="L136" s="892" t="s">
        <v>393</v>
      </c>
      <c r="M136" s="892" t="s">
        <v>396</v>
      </c>
      <c r="N136" s="379">
        <f aca="true" t="shared" si="68" ref="N136:T136">SUM(N137:N141)</f>
        <v>1.4909999999999999</v>
      </c>
      <c r="O136" s="380">
        <f>SUM(O137:O141)</f>
        <v>7.1</v>
      </c>
      <c r="P136" s="380">
        <f>SUM(P137:P141)</f>
        <v>7.1</v>
      </c>
      <c r="Q136" s="379">
        <f t="shared" si="68"/>
        <v>1.5753053999999995</v>
      </c>
      <c r="R136" s="379">
        <f t="shared" si="68"/>
        <v>1.3078199999999998</v>
      </c>
      <c r="S136" s="379">
        <f t="shared" si="68"/>
        <v>0.18723977999999997</v>
      </c>
      <c r="T136" s="379">
        <f t="shared" si="68"/>
        <v>0.08024561999999999</v>
      </c>
    </row>
    <row r="137" spans="1:20" ht="20.25" customHeight="1">
      <c r="A137" s="866"/>
      <c r="B137" s="882"/>
      <c r="C137" s="893"/>
      <c r="D137" s="9">
        <v>2010</v>
      </c>
      <c r="E137" s="56">
        <f aca="true" t="shared" si="69" ref="E137:E146">SUM(F137:K137)</f>
        <v>14.2</v>
      </c>
      <c r="F137" s="56">
        <v>13.5</v>
      </c>
      <c r="G137" s="56">
        <v>0.7</v>
      </c>
      <c r="H137" s="56">
        <v>0</v>
      </c>
      <c r="I137" s="56"/>
      <c r="J137" s="56"/>
      <c r="K137" s="56"/>
      <c r="L137" s="892"/>
      <c r="M137" s="892"/>
      <c r="N137" s="98">
        <f>E137*0.7*0.15</f>
        <v>1.4909999999999999</v>
      </c>
      <c r="O137" s="88">
        <f>E137/2</f>
        <v>7.1</v>
      </c>
      <c r="P137" s="88">
        <f>E137/2</f>
        <v>7.1</v>
      </c>
      <c r="Q137" s="58">
        <f>SUM(R137:T137)</f>
        <v>1.5753053999999995</v>
      </c>
      <c r="R137" s="34">
        <f>E137*0.5*0.18+N137*0.02</f>
        <v>1.3078199999999998</v>
      </c>
      <c r="S137" s="101">
        <f>(N137*0.18+(O137*12*21/1000))*0.13*0.7</f>
        <v>0.18723977999999997</v>
      </c>
      <c r="T137" s="101">
        <f>(N137*0.18+(O137*12*21/1000))*0.13*0.3</f>
        <v>0.08024561999999999</v>
      </c>
    </row>
    <row r="138" spans="1:20" ht="15">
      <c r="A138" s="866"/>
      <c r="B138" s="882"/>
      <c r="C138" s="893"/>
      <c r="D138" s="10">
        <v>2011</v>
      </c>
      <c r="E138" s="56">
        <f t="shared" si="69"/>
        <v>0</v>
      </c>
      <c r="F138" s="56"/>
      <c r="G138" s="56"/>
      <c r="H138" s="56"/>
      <c r="I138" s="56"/>
      <c r="J138" s="56"/>
      <c r="K138" s="56"/>
      <c r="L138" s="892"/>
      <c r="M138" s="892"/>
      <c r="N138" s="99">
        <f>E138*0.7*0.15</f>
        <v>0</v>
      </c>
      <c r="O138" s="100">
        <f>E138/2</f>
        <v>0</v>
      </c>
      <c r="P138" s="100">
        <f>E138/2</f>
        <v>0</v>
      </c>
      <c r="Q138" s="58">
        <f>SUM(R138:T138)</f>
        <v>0</v>
      </c>
      <c r="R138" s="34">
        <f>E138*0.5*0.18+N138*0.02</f>
        <v>0</v>
      </c>
      <c r="S138" s="101">
        <f>(N138*0.18+(O138*12*21/1000))*0.13*0.7</f>
        <v>0</v>
      </c>
      <c r="T138" s="101">
        <f>(N138*0.18+(O138*12*21/1000))*0.13*0.3</f>
        <v>0</v>
      </c>
    </row>
    <row r="139" spans="1:20" ht="21.75" customHeight="1">
      <c r="A139" s="866"/>
      <c r="B139" s="882"/>
      <c r="C139" s="893"/>
      <c r="D139" s="9">
        <v>2012</v>
      </c>
      <c r="E139" s="56">
        <f t="shared" si="69"/>
        <v>0</v>
      </c>
      <c r="F139" s="56"/>
      <c r="G139" s="56"/>
      <c r="H139" s="56"/>
      <c r="I139" s="56"/>
      <c r="J139" s="56"/>
      <c r="K139" s="56"/>
      <c r="L139" s="892"/>
      <c r="M139" s="892"/>
      <c r="N139" s="99">
        <f>E139*0.7*0.15</f>
        <v>0</v>
      </c>
      <c r="O139" s="100">
        <f>E139/2</f>
        <v>0</v>
      </c>
      <c r="P139" s="100">
        <f>E139/2</f>
        <v>0</v>
      </c>
      <c r="Q139" s="58">
        <f>SUM(R139:T139)</f>
        <v>0</v>
      </c>
      <c r="R139" s="34">
        <f>E139*0.5*0.18+N139*0.02</f>
        <v>0</v>
      </c>
      <c r="S139" s="101">
        <f>(N139*0.18+(O139*12*21/1000))*0.13*0.7</f>
        <v>0</v>
      </c>
      <c r="T139" s="101">
        <f>(N139*0.18+(O139*12*21/1000))*0.13*0.3</f>
        <v>0</v>
      </c>
    </row>
    <row r="140" spans="1:20" ht="23.25" customHeight="1">
      <c r="A140" s="866"/>
      <c r="B140" s="882"/>
      <c r="C140" s="893"/>
      <c r="D140" s="9">
        <v>2013</v>
      </c>
      <c r="E140" s="56">
        <f t="shared" si="69"/>
        <v>0</v>
      </c>
      <c r="F140" s="56"/>
      <c r="G140" s="56"/>
      <c r="H140" s="56"/>
      <c r="I140" s="56"/>
      <c r="J140" s="56"/>
      <c r="K140" s="56"/>
      <c r="L140" s="892"/>
      <c r="M140" s="892"/>
      <c r="N140" s="99">
        <f>E140*0.7*0.15</f>
        <v>0</v>
      </c>
      <c r="O140" s="100">
        <f>E140/2</f>
        <v>0</v>
      </c>
      <c r="P140" s="100">
        <f>E140/2</f>
        <v>0</v>
      </c>
      <c r="Q140" s="58">
        <f>SUM(R140:T140)</f>
        <v>0</v>
      </c>
      <c r="R140" s="34">
        <f>E140*0.5*0.18+N140*0.02</f>
        <v>0</v>
      </c>
      <c r="S140" s="101">
        <f>(N140*0.18+(O140*12*21/1000))*0.13*0.7</f>
        <v>0</v>
      </c>
      <c r="T140" s="101">
        <f>(N140*0.18+(O140*12*21/1000))*0.13*0.3</f>
        <v>0</v>
      </c>
    </row>
    <row r="141" spans="1:20" ht="18" customHeight="1">
      <c r="A141" s="866"/>
      <c r="B141" s="882"/>
      <c r="C141" s="893"/>
      <c r="D141" s="31">
        <v>2014</v>
      </c>
      <c r="E141" s="56">
        <f t="shared" si="69"/>
        <v>0</v>
      </c>
      <c r="F141" s="56"/>
      <c r="G141" s="56"/>
      <c r="H141" s="56"/>
      <c r="I141" s="56"/>
      <c r="J141" s="56"/>
      <c r="K141" s="56"/>
      <c r="L141" s="892"/>
      <c r="M141" s="892"/>
      <c r="N141" s="99">
        <f>E141*0.7*0.15</f>
        <v>0</v>
      </c>
      <c r="O141" s="100">
        <f>E141/2</f>
        <v>0</v>
      </c>
      <c r="P141" s="100">
        <f>E141/2</f>
        <v>0</v>
      </c>
      <c r="Q141" s="58">
        <f>SUM(R141:T141)</f>
        <v>0</v>
      </c>
      <c r="R141" s="34">
        <f>E141*0.5*0.18+N141*0.02</f>
        <v>0</v>
      </c>
      <c r="S141" s="101">
        <f>(N141*0.18+(O141*12*21/1000))*0.13*0.7</f>
        <v>0</v>
      </c>
      <c r="T141" s="101">
        <f>(N141*0.18+(O141*12*21/1000))*0.13*0.3</f>
        <v>0</v>
      </c>
    </row>
    <row r="142" spans="1:20" ht="15" customHeight="1">
      <c r="A142" s="866">
        <v>18</v>
      </c>
      <c r="B142" s="879" t="s">
        <v>561</v>
      </c>
      <c r="C142" s="890" t="s">
        <v>40</v>
      </c>
      <c r="D142" s="129" t="s">
        <v>570</v>
      </c>
      <c r="E142" s="57">
        <f>SUM(E143:E147)</f>
        <v>84.19999999999999</v>
      </c>
      <c r="F142" s="57">
        <f aca="true" t="shared" si="70" ref="F142:K142">SUM(F143:F147)</f>
        <v>0</v>
      </c>
      <c r="G142" s="57">
        <f t="shared" si="70"/>
        <v>0</v>
      </c>
      <c r="H142" s="57">
        <f>SUM(H143:H147)</f>
        <v>4.199999999999999</v>
      </c>
      <c r="I142" s="57">
        <f t="shared" si="70"/>
        <v>0</v>
      </c>
      <c r="J142" s="57">
        <f t="shared" si="70"/>
        <v>0</v>
      </c>
      <c r="K142" s="57">
        <f t="shared" si="70"/>
        <v>80</v>
      </c>
      <c r="L142" s="891" t="s">
        <v>649</v>
      </c>
      <c r="M142" s="891"/>
      <c r="N142" s="379">
        <f aca="true" t="shared" si="71" ref="N142:T142">SUM(N143:N147)</f>
        <v>8.840999999999998</v>
      </c>
      <c r="O142" s="380">
        <f>SUM(O143:O147)</f>
        <v>165.95</v>
      </c>
      <c r="P142" s="380">
        <f>SUM(P143:P147)</f>
        <v>166.95</v>
      </c>
      <c r="Q142" s="379">
        <f t="shared" si="71"/>
        <v>13.398221399999997</v>
      </c>
      <c r="R142" s="379">
        <f t="shared" si="71"/>
        <v>7.754819999999999</v>
      </c>
      <c r="S142" s="379">
        <f t="shared" si="71"/>
        <v>3.9503809799999994</v>
      </c>
      <c r="T142" s="379">
        <f t="shared" si="71"/>
        <v>1.6930204199999999</v>
      </c>
    </row>
    <row r="143" spans="1:20" ht="15">
      <c r="A143" s="866"/>
      <c r="B143" s="879"/>
      <c r="C143" s="890"/>
      <c r="D143" s="7">
        <v>2010</v>
      </c>
      <c r="E143" s="56">
        <f t="shared" si="69"/>
        <v>52.3</v>
      </c>
      <c r="F143" s="58"/>
      <c r="G143" s="58"/>
      <c r="H143" s="58">
        <v>2.3</v>
      </c>
      <c r="I143" s="256"/>
      <c r="J143" s="256"/>
      <c r="K143" s="58">
        <v>50</v>
      </c>
      <c r="L143" s="891"/>
      <c r="M143" s="891"/>
      <c r="N143" s="99">
        <f>E143*0.7*0.15</f>
        <v>5.4914999999999985</v>
      </c>
      <c r="O143" s="100">
        <v>150</v>
      </c>
      <c r="P143" s="100">
        <v>151</v>
      </c>
      <c r="Q143" s="58">
        <f>SUM(R143:T143)</f>
        <v>9.859331099999999</v>
      </c>
      <c r="R143" s="34">
        <f>E143*0.5*0.18+N143*0.02</f>
        <v>4.8168299999999995</v>
      </c>
      <c r="S143" s="34">
        <f>(N143*0.18+(O143*12*21/1000))*0.13*0.7</f>
        <v>3.5297507699999997</v>
      </c>
      <c r="T143" s="34">
        <f>(N143*0.18+(O143*12*21/1000))*0.13*0.3</f>
        <v>1.51275033</v>
      </c>
    </row>
    <row r="144" spans="1:20" ht="15">
      <c r="A144" s="866"/>
      <c r="B144" s="879"/>
      <c r="C144" s="890"/>
      <c r="D144" s="7">
        <v>2011</v>
      </c>
      <c r="E144" s="56">
        <f>SUM(F144:K144)</f>
        <v>31.9</v>
      </c>
      <c r="F144" s="256"/>
      <c r="G144" s="58"/>
      <c r="H144" s="58">
        <v>1.9</v>
      </c>
      <c r="I144" s="256"/>
      <c r="J144" s="256"/>
      <c r="K144" s="58">
        <v>30</v>
      </c>
      <c r="L144" s="891"/>
      <c r="M144" s="891"/>
      <c r="N144" s="99">
        <f>E144*0.7*0.15</f>
        <v>3.3494999999999995</v>
      </c>
      <c r="O144" s="100">
        <f>E144/2</f>
        <v>15.95</v>
      </c>
      <c r="P144" s="100">
        <f>E144/2</f>
        <v>15.95</v>
      </c>
      <c r="Q144" s="58">
        <f>SUM(R144:T144)</f>
        <v>3.5388902999999994</v>
      </c>
      <c r="R144" s="34">
        <f>E144*0.5*0.18+N144*0.02</f>
        <v>2.9379899999999997</v>
      </c>
      <c r="S144" s="34">
        <f>(N144*0.18+(O144*12*21/1000))*0.13*0.7</f>
        <v>0.42063020999999984</v>
      </c>
      <c r="T144" s="34">
        <f>(N144*0.18+(O144*12*21/1000))*0.13*0.3</f>
        <v>0.18027008999999994</v>
      </c>
    </row>
    <row r="145" spans="1:20" ht="15">
      <c r="A145" s="866"/>
      <c r="B145" s="879"/>
      <c r="C145" s="890"/>
      <c r="D145" s="7">
        <v>2012</v>
      </c>
      <c r="E145" s="56">
        <f t="shared" si="69"/>
        <v>0</v>
      </c>
      <c r="F145" s="256"/>
      <c r="G145" s="58"/>
      <c r="H145" s="58"/>
      <c r="I145" s="256"/>
      <c r="J145" s="256"/>
      <c r="K145" s="58"/>
      <c r="L145" s="891"/>
      <c r="M145" s="891"/>
      <c r="N145" s="99">
        <f>E145*0.7*0.15</f>
        <v>0</v>
      </c>
      <c r="O145" s="100">
        <f>E145/2</f>
        <v>0</v>
      </c>
      <c r="P145" s="100">
        <f>E145/2</f>
        <v>0</v>
      </c>
      <c r="Q145" s="58">
        <f>SUM(R145:T145)</f>
        <v>0</v>
      </c>
      <c r="R145" s="34">
        <f>E145*0.5*0.18+N145*0.02</f>
        <v>0</v>
      </c>
      <c r="S145" s="34">
        <f>(N145*0.18+(O145*12*21/1000))*0.13*0.7</f>
        <v>0</v>
      </c>
      <c r="T145" s="34">
        <f>(N145*0.18+(O145*12*21/1000))*0.13*0.3</f>
        <v>0</v>
      </c>
    </row>
    <row r="146" spans="1:20" ht="15">
      <c r="A146" s="866"/>
      <c r="B146" s="879"/>
      <c r="C146" s="890"/>
      <c r="D146" s="7">
        <v>2013</v>
      </c>
      <c r="E146" s="56">
        <f t="shared" si="69"/>
        <v>0</v>
      </c>
      <c r="F146" s="256"/>
      <c r="G146" s="58"/>
      <c r="H146" s="58"/>
      <c r="I146" s="256"/>
      <c r="J146" s="256"/>
      <c r="K146" s="58"/>
      <c r="L146" s="891"/>
      <c r="M146" s="891"/>
      <c r="N146" s="99">
        <f>E146*0.7*0.15</f>
        <v>0</v>
      </c>
      <c r="O146" s="100">
        <f>E146/2</f>
        <v>0</v>
      </c>
      <c r="P146" s="100">
        <f>E146/2</f>
        <v>0</v>
      </c>
      <c r="Q146" s="58">
        <f>SUM(R146:T146)</f>
        <v>0</v>
      </c>
      <c r="R146" s="34">
        <f>E146*0.5*0.18+N146*0.02</f>
        <v>0</v>
      </c>
      <c r="S146" s="34">
        <f>(N146*0.18+(O146*12*21/1000))*0.13*0.7</f>
        <v>0</v>
      </c>
      <c r="T146" s="34">
        <f>(N146*0.18+(O146*12*21/1000))*0.13*0.3</f>
        <v>0</v>
      </c>
    </row>
    <row r="147" spans="1:20" ht="15">
      <c r="A147" s="866"/>
      <c r="B147" s="879"/>
      <c r="C147" s="890"/>
      <c r="D147" s="7">
        <v>2014</v>
      </c>
      <c r="E147" s="56">
        <f>SUM(F147:K147)</f>
        <v>0</v>
      </c>
      <c r="F147" s="56"/>
      <c r="G147" s="58"/>
      <c r="H147" s="58"/>
      <c r="I147" s="256"/>
      <c r="J147" s="256"/>
      <c r="K147" s="58"/>
      <c r="L147" s="891"/>
      <c r="M147" s="891"/>
      <c r="N147" s="98">
        <f>E147*0.7*0.15</f>
        <v>0</v>
      </c>
      <c r="O147" s="97">
        <f>E147/2</f>
        <v>0</v>
      </c>
      <c r="P147" s="97">
        <f>E147/2</f>
        <v>0</v>
      </c>
      <c r="Q147" s="58">
        <f>SUM(R147:T147)</f>
        <v>0</v>
      </c>
      <c r="R147" s="34">
        <f>E147*0.5*0.18+N147*0.02</f>
        <v>0</v>
      </c>
      <c r="S147" s="34">
        <f>(N147*0.18+(O147*12*21/1000))*0.13*0.7</f>
        <v>0</v>
      </c>
      <c r="T147" s="34">
        <f>(N147*0.18+(O147*12*21/1000))*0.13*0.3</f>
        <v>0</v>
      </c>
    </row>
    <row r="148" spans="1:20" ht="15" customHeight="1">
      <c r="A148" s="881" t="s">
        <v>130</v>
      </c>
      <c r="B148" s="881"/>
      <c r="C148" s="881"/>
      <c r="D148" s="881"/>
      <c r="E148" s="881"/>
      <c r="F148" s="881"/>
      <c r="G148" s="881"/>
      <c r="H148" s="881"/>
      <c r="I148" s="881"/>
      <c r="J148" s="881"/>
      <c r="K148" s="881"/>
      <c r="L148" s="881"/>
      <c r="M148" s="881"/>
      <c r="N148" s="881"/>
      <c r="O148" s="881"/>
      <c r="P148" s="881"/>
      <c r="Q148" s="881"/>
      <c r="R148" s="881"/>
      <c r="S148" s="881"/>
      <c r="T148" s="881"/>
    </row>
    <row r="149" spans="1:20" ht="15">
      <c r="A149" s="888"/>
      <c r="B149" s="885" t="s">
        <v>647</v>
      </c>
      <c r="C149" s="885"/>
      <c r="D149" s="22">
        <v>2010</v>
      </c>
      <c r="E149" s="60">
        <f>E156</f>
        <v>0.2</v>
      </c>
      <c r="F149" s="60">
        <f aca="true" t="shared" si="72" ref="F149:K149">F156</f>
        <v>0</v>
      </c>
      <c r="G149" s="60">
        <f t="shared" si="72"/>
        <v>0</v>
      </c>
      <c r="H149" s="60">
        <f t="shared" si="72"/>
        <v>0.1</v>
      </c>
      <c r="I149" s="60">
        <f t="shared" si="72"/>
        <v>0.1</v>
      </c>
      <c r="J149" s="60">
        <f t="shared" si="72"/>
        <v>0</v>
      </c>
      <c r="K149" s="60">
        <f t="shared" si="72"/>
        <v>0</v>
      </c>
      <c r="L149" s="889"/>
      <c r="M149" s="889"/>
      <c r="N149" s="60">
        <f>N156</f>
        <v>0</v>
      </c>
      <c r="O149" s="60">
        <f aca="true" t="shared" si="73" ref="O149:T149">O156</f>
        <v>2</v>
      </c>
      <c r="P149" s="60">
        <f t="shared" si="73"/>
        <v>0</v>
      </c>
      <c r="Q149" s="60">
        <f t="shared" si="73"/>
        <v>0.08352000000000001</v>
      </c>
      <c r="R149" s="60">
        <f t="shared" si="73"/>
        <v>0.018</v>
      </c>
      <c r="S149" s="60">
        <f t="shared" si="73"/>
        <v>0.045864</v>
      </c>
      <c r="T149" s="60">
        <f t="shared" si="73"/>
        <v>0.019656000000000003</v>
      </c>
    </row>
    <row r="150" spans="1:20" ht="15">
      <c r="A150" s="888"/>
      <c r="B150" s="885"/>
      <c r="C150" s="885"/>
      <c r="D150" s="22">
        <v>2011</v>
      </c>
      <c r="E150" s="60">
        <f aca="true" t="shared" si="74" ref="E150:K153">E157</f>
        <v>0.1</v>
      </c>
      <c r="F150" s="60">
        <f t="shared" si="74"/>
        <v>0</v>
      </c>
      <c r="G150" s="60">
        <f t="shared" si="74"/>
        <v>0</v>
      </c>
      <c r="H150" s="60">
        <f t="shared" si="74"/>
        <v>0</v>
      </c>
      <c r="I150" s="60">
        <f t="shared" si="74"/>
        <v>0.1</v>
      </c>
      <c r="J150" s="60">
        <f t="shared" si="74"/>
        <v>0</v>
      </c>
      <c r="K150" s="60">
        <f t="shared" si="74"/>
        <v>0</v>
      </c>
      <c r="L150" s="889"/>
      <c r="M150" s="889"/>
      <c r="N150" s="60">
        <f aca="true" t="shared" si="75" ref="N150:T153">N157</f>
        <v>0</v>
      </c>
      <c r="O150" s="60">
        <f t="shared" si="75"/>
        <v>0</v>
      </c>
      <c r="P150" s="60">
        <f t="shared" si="75"/>
        <v>0</v>
      </c>
      <c r="Q150" s="60">
        <f t="shared" si="75"/>
        <v>0.009</v>
      </c>
      <c r="R150" s="60">
        <f t="shared" si="75"/>
        <v>0.009</v>
      </c>
      <c r="S150" s="60">
        <f t="shared" si="75"/>
        <v>0</v>
      </c>
      <c r="T150" s="60">
        <f t="shared" si="75"/>
        <v>0</v>
      </c>
    </row>
    <row r="151" spans="1:20" ht="15">
      <c r="A151" s="888"/>
      <c r="B151" s="885"/>
      <c r="C151" s="885"/>
      <c r="D151" s="22">
        <v>2012</v>
      </c>
      <c r="E151" s="60">
        <f t="shared" si="74"/>
        <v>0</v>
      </c>
      <c r="F151" s="60">
        <f t="shared" si="74"/>
        <v>0</v>
      </c>
      <c r="G151" s="60">
        <f t="shared" si="74"/>
        <v>0</v>
      </c>
      <c r="H151" s="60">
        <f t="shared" si="74"/>
        <v>0</v>
      </c>
      <c r="I151" s="60">
        <f t="shared" si="74"/>
        <v>0</v>
      </c>
      <c r="J151" s="60">
        <f t="shared" si="74"/>
        <v>0</v>
      </c>
      <c r="K151" s="60">
        <f t="shared" si="74"/>
        <v>0</v>
      </c>
      <c r="L151" s="889"/>
      <c r="M151" s="889"/>
      <c r="N151" s="60">
        <f t="shared" si="75"/>
        <v>0</v>
      </c>
      <c r="O151" s="60">
        <f t="shared" si="75"/>
        <v>0</v>
      </c>
      <c r="P151" s="60">
        <f t="shared" si="75"/>
        <v>0</v>
      </c>
      <c r="Q151" s="60">
        <f t="shared" si="75"/>
        <v>0</v>
      </c>
      <c r="R151" s="60">
        <f t="shared" si="75"/>
        <v>0</v>
      </c>
      <c r="S151" s="60">
        <f t="shared" si="75"/>
        <v>0</v>
      </c>
      <c r="T151" s="60">
        <f t="shared" si="75"/>
        <v>0</v>
      </c>
    </row>
    <row r="152" spans="1:20" ht="15">
      <c r="A152" s="888"/>
      <c r="B152" s="885"/>
      <c r="C152" s="885"/>
      <c r="D152" s="22">
        <v>2013</v>
      </c>
      <c r="E152" s="60">
        <f t="shared" si="74"/>
        <v>0</v>
      </c>
      <c r="F152" s="60">
        <f t="shared" si="74"/>
        <v>0</v>
      </c>
      <c r="G152" s="60">
        <f t="shared" si="74"/>
        <v>0</v>
      </c>
      <c r="H152" s="60">
        <f t="shared" si="74"/>
        <v>0</v>
      </c>
      <c r="I152" s="60">
        <f t="shared" si="74"/>
        <v>0</v>
      </c>
      <c r="J152" s="60">
        <f t="shared" si="74"/>
        <v>0</v>
      </c>
      <c r="K152" s="60">
        <f t="shared" si="74"/>
        <v>0</v>
      </c>
      <c r="L152" s="889"/>
      <c r="M152" s="889"/>
      <c r="N152" s="60">
        <f t="shared" si="75"/>
        <v>0</v>
      </c>
      <c r="O152" s="60">
        <f t="shared" si="75"/>
        <v>0</v>
      </c>
      <c r="P152" s="60">
        <f t="shared" si="75"/>
        <v>0</v>
      </c>
      <c r="Q152" s="60">
        <f t="shared" si="75"/>
        <v>0</v>
      </c>
      <c r="R152" s="60">
        <f t="shared" si="75"/>
        <v>0</v>
      </c>
      <c r="S152" s="60">
        <f t="shared" si="75"/>
        <v>0</v>
      </c>
      <c r="T152" s="60">
        <f t="shared" si="75"/>
        <v>0</v>
      </c>
    </row>
    <row r="153" spans="1:20" ht="15">
      <c r="A153" s="888"/>
      <c r="B153" s="885"/>
      <c r="C153" s="885"/>
      <c r="D153" s="22">
        <v>2014</v>
      </c>
      <c r="E153" s="60">
        <f t="shared" si="74"/>
        <v>0</v>
      </c>
      <c r="F153" s="60">
        <f t="shared" si="74"/>
        <v>0</v>
      </c>
      <c r="G153" s="60">
        <f t="shared" si="74"/>
        <v>0</v>
      </c>
      <c r="H153" s="60">
        <f t="shared" si="74"/>
        <v>0</v>
      </c>
      <c r="I153" s="60">
        <f t="shared" si="74"/>
        <v>0</v>
      </c>
      <c r="J153" s="60">
        <f t="shared" si="74"/>
        <v>0</v>
      </c>
      <c r="K153" s="60">
        <f t="shared" si="74"/>
        <v>0</v>
      </c>
      <c r="L153" s="889"/>
      <c r="M153" s="889"/>
      <c r="N153" s="60">
        <f t="shared" si="75"/>
        <v>0</v>
      </c>
      <c r="O153" s="60">
        <f t="shared" si="75"/>
        <v>0</v>
      </c>
      <c r="P153" s="60">
        <f t="shared" si="75"/>
        <v>0</v>
      </c>
      <c r="Q153" s="60">
        <f t="shared" si="75"/>
        <v>0</v>
      </c>
      <c r="R153" s="60">
        <f t="shared" si="75"/>
        <v>0</v>
      </c>
      <c r="S153" s="60">
        <f t="shared" si="75"/>
        <v>0</v>
      </c>
      <c r="T153" s="60">
        <f t="shared" si="75"/>
        <v>0</v>
      </c>
    </row>
    <row r="154" spans="1:20" ht="15">
      <c r="A154" s="888"/>
      <c r="B154" s="885"/>
      <c r="C154" s="885"/>
      <c r="D154" s="22" t="s">
        <v>378</v>
      </c>
      <c r="E154" s="60">
        <f>SUM(E149:E153)</f>
        <v>0.30000000000000004</v>
      </c>
      <c r="F154" s="60">
        <f aca="true" t="shared" si="76" ref="F154:K154">SUM(F149:F153)</f>
        <v>0</v>
      </c>
      <c r="G154" s="60">
        <f t="shared" si="76"/>
        <v>0</v>
      </c>
      <c r="H154" s="60">
        <f t="shared" si="76"/>
        <v>0.1</v>
      </c>
      <c r="I154" s="60">
        <f t="shared" si="76"/>
        <v>0.2</v>
      </c>
      <c r="J154" s="60">
        <f t="shared" si="76"/>
        <v>0</v>
      </c>
      <c r="K154" s="60">
        <f t="shared" si="76"/>
        <v>0</v>
      </c>
      <c r="L154" s="889"/>
      <c r="M154" s="889"/>
      <c r="N154" s="60">
        <f aca="true" t="shared" si="77" ref="N154:T154">SUM(N149:N153)</f>
        <v>0</v>
      </c>
      <c r="O154" s="102">
        <f t="shared" si="77"/>
        <v>2</v>
      </c>
      <c r="P154" s="60"/>
      <c r="Q154" s="60">
        <f t="shared" si="77"/>
        <v>0.09252</v>
      </c>
      <c r="R154" s="60">
        <f t="shared" si="77"/>
        <v>0.026999999999999996</v>
      </c>
      <c r="S154" s="60">
        <f t="shared" si="77"/>
        <v>0.045864</v>
      </c>
      <c r="T154" s="60">
        <f t="shared" si="77"/>
        <v>0.019656000000000003</v>
      </c>
    </row>
    <row r="155" spans="1:20" ht="15" customHeight="1">
      <c r="A155" s="866">
        <v>19</v>
      </c>
      <c r="B155" s="879" t="s">
        <v>542</v>
      </c>
      <c r="C155" s="880" t="s">
        <v>541</v>
      </c>
      <c r="D155" s="129" t="s">
        <v>570</v>
      </c>
      <c r="E155" s="57">
        <f aca="true" t="shared" si="78" ref="E155:K155">SUM(E156:E160)</f>
        <v>0.30000000000000004</v>
      </c>
      <c r="F155" s="57">
        <f t="shared" si="78"/>
        <v>0</v>
      </c>
      <c r="G155" s="57">
        <f t="shared" si="78"/>
        <v>0</v>
      </c>
      <c r="H155" s="57">
        <f t="shared" si="78"/>
        <v>0.1</v>
      </c>
      <c r="I155" s="57">
        <f t="shared" si="78"/>
        <v>0.2</v>
      </c>
      <c r="J155" s="57">
        <f t="shared" si="78"/>
        <v>0</v>
      </c>
      <c r="K155" s="57">
        <f t="shared" si="78"/>
        <v>0</v>
      </c>
      <c r="L155" s="887"/>
      <c r="M155" s="887"/>
      <c r="N155" s="35"/>
      <c r="O155" s="87">
        <v>2</v>
      </c>
      <c r="P155" s="87"/>
      <c r="Q155" s="379">
        <f>SUM(Q156:Q160)</f>
        <v>0.09252</v>
      </c>
      <c r="R155" s="379">
        <f>SUM(R156:R160)</f>
        <v>0.026999999999999996</v>
      </c>
      <c r="S155" s="379">
        <f>SUM(S156:S160)</f>
        <v>0.045864</v>
      </c>
      <c r="T155" s="379">
        <f>SUM(T156:T160)</f>
        <v>0.019656000000000003</v>
      </c>
    </row>
    <row r="156" spans="1:20" ht="15">
      <c r="A156" s="866"/>
      <c r="B156" s="879"/>
      <c r="C156" s="880"/>
      <c r="D156" s="12">
        <v>2010</v>
      </c>
      <c r="E156" s="56">
        <f>SUM(F156:K156)</f>
        <v>0.2</v>
      </c>
      <c r="F156" s="56"/>
      <c r="G156" s="56"/>
      <c r="H156" s="56">
        <v>0.1</v>
      </c>
      <c r="I156" s="56">
        <v>0.1</v>
      </c>
      <c r="J156" s="57"/>
      <c r="K156" s="57"/>
      <c r="L156" s="887"/>
      <c r="M156" s="887"/>
      <c r="N156" s="35"/>
      <c r="O156" s="87">
        <v>2</v>
      </c>
      <c r="P156" s="87"/>
      <c r="Q156" s="58">
        <f>SUM(R156:T156)</f>
        <v>0.08352000000000001</v>
      </c>
      <c r="R156" s="34">
        <f>E156*0.5*0.18+N156*0.02</f>
        <v>0.018</v>
      </c>
      <c r="S156" s="34">
        <f>(N156*0.18+(O156*12*21/1000))*0.13*0.7</f>
        <v>0.045864</v>
      </c>
      <c r="T156" s="34">
        <f>(N156*0.18+(O156*12*21/1000))*0.13*0.3</f>
        <v>0.019656000000000003</v>
      </c>
    </row>
    <row r="157" spans="1:20" ht="15">
      <c r="A157" s="866"/>
      <c r="B157" s="879"/>
      <c r="C157" s="880"/>
      <c r="D157" s="12">
        <v>2011</v>
      </c>
      <c r="E157" s="56">
        <f>SUM(F157:K157)</f>
        <v>0.1</v>
      </c>
      <c r="F157" s="56"/>
      <c r="G157" s="56"/>
      <c r="H157" s="56">
        <v>0</v>
      </c>
      <c r="I157" s="56">
        <v>0.1</v>
      </c>
      <c r="J157" s="57"/>
      <c r="K157" s="57"/>
      <c r="L157" s="887"/>
      <c r="M157" s="887"/>
      <c r="N157" s="35"/>
      <c r="O157" s="87">
        <v>0</v>
      </c>
      <c r="P157" s="87"/>
      <c r="Q157" s="58">
        <f>SUM(R157:T157)</f>
        <v>0.009</v>
      </c>
      <c r="R157" s="34">
        <f>E157*0.5*0.18+N157*0.02</f>
        <v>0.009</v>
      </c>
      <c r="S157" s="34">
        <f>(N157*0.18+(O157*12*21/1000))*0.13*0.7</f>
        <v>0</v>
      </c>
      <c r="T157" s="34">
        <f>(N157*0.18+(O157*12*21/1000))*0.13*0.3</f>
        <v>0</v>
      </c>
    </row>
    <row r="158" spans="1:20" ht="15">
      <c r="A158" s="866"/>
      <c r="B158" s="879"/>
      <c r="C158" s="880"/>
      <c r="D158" s="12">
        <v>2012</v>
      </c>
      <c r="E158" s="56">
        <f>SUM(F158:K158)</f>
        <v>0</v>
      </c>
      <c r="F158" s="56"/>
      <c r="G158" s="56"/>
      <c r="H158" s="56"/>
      <c r="I158" s="56"/>
      <c r="J158" s="57"/>
      <c r="K158" s="57"/>
      <c r="L158" s="887"/>
      <c r="M158" s="887"/>
      <c r="N158" s="35"/>
      <c r="O158" s="87">
        <v>0</v>
      </c>
      <c r="P158" s="87"/>
      <c r="Q158" s="58">
        <f>SUM(R158:T158)</f>
        <v>0</v>
      </c>
      <c r="R158" s="34">
        <f>E158*0.5*0.18+N158*0.02</f>
        <v>0</v>
      </c>
      <c r="S158" s="34">
        <f>(N158*0.18+(O158*12*21/1000))*0.13*0.7</f>
        <v>0</v>
      </c>
      <c r="T158" s="34">
        <f>(N158*0.18+(O158*12*21/1000))*0.13*0.3</f>
        <v>0</v>
      </c>
    </row>
    <row r="159" spans="1:20" ht="15">
      <c r="A159" s="866"/>
      <c r="B159" s="879"/>
      <c r="C159" s="880"/>
      <c r="D159" s="7">
        <v>2013</v>
      </c>
      <c r="E159" s="56">
        <f>SUM(F159:K159)</f>
        <v>0</v>
      </c>
      <c r="F159" s="56"/>
      <c r="G159" s="56"/>
      <c r="H159" s="56"/>
      <c r="I159" s="56"/>
      <c r="J159" s="57"/>
      <c r="K159" s="57"/>
      <c r="L159" s="887"/>
      <c r="M159" s="887"/>
      <c r="N159" s="35"/>
      <c r="O159" s="87">
        <v>0</v>
      </c>
      <c r="P159" s="87"/>
      <c r="Q159" s="58">
        <f>SUM(R159:T159)</f>
        <v>0</v>
      </c>
      <c r="R159" s="34">
        <f>E159*0.5*0.18+N159*0.02</f>
        <v>0</v>
      </c>
      <c r="S159" s="34">
        <f>(N159*0.18+(O159*12*21/1000))*0.13*0.7</f>
        <v>0</v>
      </c>
      <c r="T159" s="34">
        <f>(N159*0.18+(O159*12*21/1000))*0.13*0.3</f>
        <v>0</v>
      </c>
    </row>
    <row r="160" spans="1:20" ht="15">
      <c r="A160" s="866"/>
      <c r="B160" s="879"/>
      <c r="C160" s="880"/>
      <c r="D160" s="6">
        <v>2014</v>
      </c>
      <c r="E160" s="56">
        <f>SUM(F160:K160)</f>
        <v>0</v>
      </c>
      <c r="F160" s="57"/>
      <c r="G160" s="57"/>
      <c r="H160" s="57"/>
      <c r="I160" s="57"/>
      <c r="J160" s="57"/>
      <c r="K160" s="57"/>
      <c r="L160" s="887"/>
      <c r="M160" s="887"/>
      <c r="N160" s="35"/>
      <c r="O160" s="87">
        <v>0</v>
      </c>
      <c r="P160" s="87"/>
      <c r="Q160" s="58">
        <f>SUM(R160:T160)</f>
        <v>0</v>
      </c>
      <c r="R160" s="34">
        <f>E160*0.5*0.18+N160*0.02</f>
        <v>0</v>
      </c>
      <c r="S160" s="34">
        <f>(N160*0.18+(O160*12*21/1000))*0.13*0.7</f>
        <v>0</v>
      </c>
      <c r="T160" s="34">
        <f>(N160*0.18+(O160*12*21/1000))*0.13*0.3</f>
        <v>0</v>
      </c>
    </row>
    <row r="161" spans="1:20" ht="15" customHeight="1">
      <c r="A161" s="881" t="s">
        <v>159</v>
      </c>
      <c r="B161" s="881"/>
      <c r="C161" s="881"/>
      <c r="D161" s="881"/>
      <c r="E161" s="881"/>
      <c r="F161" s="881"/>
      <c r="G161" s="881"/>
      <c r="H161" s="881"/>
      <c r="I161" s="881"/>
      <c r="J161" s="881"/>
      <c r="K161" s="881"/>
      <c r="L161" s="881"/>
      <c r="M161" s="881"/>
      <c r="N161" s="881"/>
      <c r="O161" s="881"/>
      <c r="P161" s="881"/>
      <c r="Q161" s="881"/>
      <c r="R161" s="881"/>
      <c r="S161" s="881"/>
      <c r="T161" s="881"/>
    </row>
    <row r="162" spans="1:20" ht="15">
      <c r="A162" s="884"/>
      <c r="B162" s="885" t="s">
        <v>647</v>
      </c>
      <c r="C162" s="885"/>
      <c r="D162" s="37">
        <v>2010</v>
      </c>
      <c r="E162" s="61">
        <v>0</v>
      </c>
      <c r="F162" s="61">
        <v>0</v>
      </c>
      <c r="G162" s="61">
        <v>0</v>
      </c>
      <c r="H162" s="61">
        <v>0</v>
      </c>
      <c r="I162" s="61">
        <v>0</v>
      </c>
      <c r="J162" s="61">
        <v>0</v>
      </c>
      <c r="K162" s="61">
        <v>0</v>
      </c>
      <c r="L162" s="886"/>
      <c r="M162" s="886"/>
      <c r="N162" s="61">
        <v>0</v>
      </c>
      <c r="O162" s="61">
        <v>0</v>
      </c>
      <c r="P162" s="61">
        <v>0</v>
      </c>
      <c r="Q162" s="61">
        <v>0</v>
      </c>
      <c r="R162" s="61">
        <v>0</v>
      </c>
      <c r="S162" s="61">
        <v>0</v>
      </c>
      <c r="T162" s="61">
        <v>0</v>
      </c>
    </row>
    <row r="163" spans="1:20" ht="15">
      <c r="A163" s="884"/>
      <c r="B163" s="885"/>
      <c r="C163" s="885"/>
      <c r="D163" s="37">
        <v>2011</v>
      </c>
      <c r="E163" s="61">
        <v>0</v>
      </c>
      <c r="F163" s="61">
        <v>0</v>
      </c>
      <c r="G163" s="61">
        <v>0</v>
      </c>
      <c r="H163" s="61">
        <v>0</v>
      </c>
      <c r="I163" s="61">
        <v>0</v>
      </c>
      <c r="J163" s="61">
        <v>0</v>
      </c>
      <c r="K163" s="61">
        <v>0</v>
      </c>
      <c r="L163" s="886"/>
      <c r="M163" s="886"/>
      <c r="N163" s="61">
        <v>0</v>
      </c>
      <c r="O163" s="61">
        <v>0</v>
      </c>
      <c r="P163" s="61">
        <v>0</v>
      </c>
      <c r="Q163" s="61">
        <v>0</v>
      </c>
      <c r="R163" s="61">
        <v>0</v>
      </c>
      <c r="S163" s="61">
        <v>0</v>
      </c>
      <c r="T163" s="61">
        <v>0</v>
      </c>
    </row>
    <row r="164" spans="1:20" ht="15">
      <c r="A164" s="884"/>
      <c r="B164" s="885"/>
      <c r="C164" s="885"/>
      <c r="D164" s="22">
        <v>2012</v>
      </c>
      <c r="E164" s="61">
        <v>0</v>
      </c>
      <c r="F164" s="61">
        <v>0</v>
      </c>
      <c r="G164" s="61">
        <v>0</v>
      </c>
      <c r="H164" s="61">
        <v>0</v>
      </c>
      <c r="I164" s="61">
        <v>0</v>
      </c>
      <c r="J164" s="61">
        <v>0</v>
      </c>
      <c r="K164" s="61">
        <v>0</v>
      </c>
      <c r="L164" s="886"/>
      <c r="M164" s="886"/>
      <c r="N164" s="61">
        <v>0</v>
      </c>
      <c r="O164" s="61">
        <v>0</v>
      </c>
      <c r="P164" s="61">
        <v>0</v>
      </c>
      <c r="Q164" s="61">
        <v>0</v>
      </c>
      <c r="R164" s="61">
        <v>0</v>
      </c>
      <c r="S164" s="61">
        <v>0</v>
      </c>
      <c r="T164" s="61">
        <v>0</v>
      </c>
    </row>
    <row r="165" spans="1:20" ht="15">
      <c r="A165" s="884"/>
      <c r="B165" s="885"/>
      <c r="C165" s="885"/>
      <c r="D165" s="22">
        <v>2013</v>
      </c>
      <c r="E165" s="61">
        <v>0</v>
      </c>
      <c r="F165" s="61">
        <v>0</v>
      </c>
      <c r="G165" s="61">
        <v>0</v>
      </c>
      <c r="H165" s="61">
        <v>0</v>
      </c>
      <c r="I165" s="61">
        <v>0</v>
      </c>
      <c r="J165" s="61">
        <v>0</v>
      </c>
      <c r="K165" s="61">
        <v>0</v>
      </c>
      <c r="L165" s="886"/>
      <c r="M165" s="886"/>
      <c r="N165" s="61">
        <v>0</v>
      </c>
      <c r="O165" s="61">
        <v>0</v>
      </c>
      <c r="P165" s="61">
        <v>0</v>
      </c>
      <c r="Q165" s="61">
        <v>0</v>
      </c>
      <c r="R165" s="61">
        <v>0</v>
      </c>
      <c r="S165" s="61">
        <v>0</v>
      </c>
      <c r="T165" s="61">
        <v>0</v>
      </c>
    </row>
    <row r="166" spans="1:20" ht="15">
      <c r="A166" s="884"/>
      <c r="B166" s="885"/>
      <c r="C166" s="885"/>
      <c r="D166" s="22">
        <v>2014</v>
      </c>
      <c r="E166" s="61">
        <v>0</v>
      </c>
      <c r="F166" s="61">
        <v>0</v>
      </c>
      <c r="G166" s="61">
        <v>0</v>
      </c>
      <c r="H166" s="61">
        <v>0</v>
      </c>
      <c r="I166" s="61">
        <v>0</v>
      </c>
      <c r="J166" s="61">
        <v>0</v>
      </c>
      <c r="K166" s="61">
        <v>0</v>
      </c>
      <c r="L166" s="886"/>
      <c r="M166" s="886"/>
      <c r="N166" s="61">
        <v>0</v>
      </c>
      <c r="O166" s="61">
        <v>0</v>
      </c>
      <c r="P166" s="61">
        <v>0</v>
      </c>
      <c r="Q166" s="61">
        <v>0</v>
      </c>
      <c r="R166" s="61">
        <v>0</v>
      </c>
      <c r="S166" s="61">
        <v>0</v>
      </c>
      <c r="T166" s="61">
        <v>0</v>
      </c>
    </row>
    <row r="167" spans="1:20" ht="15">
      <c r="A167" s="884"/>
      <c r="B167" s="885"/>
      <c r="C167" s="885"/>
      <c r="D167" s="22" t="s">
        <v>378</v>
      </c>
      <c r="E167" s="61">
        <f aca="true" t="shared" si="79" ref="E167:K167">SUM(E162:E166)</f>
        <v>0</v>
      </c>
      <c r="F167" s="61">
        <f t="shared" si="79"/>
        <v>0</v>
      </c>
      <c r="G167" s="61">
        <f t="shared" si="79"/>
        <v>0</v>
      </c>
      <c r="H167" s="61">
        <f t="shared" si="79"/>
        <v>0</v>
      </c>
      <c r="I167" s="61">
        <f t="shared" si="79"/>
        <v>0</v>
      </c>
      <c r="J167" s="61">
        <f t="shared" si="79"/>
        <v>0</v>
      </c>
      <c r="K167" s="61">
        <f t="shared" si="79"/>
        <v>0</v>
      </c>
      <c r="L167" s="886"/>
      <c r="M167" s="886"/>
      <c r="N167" s="61">
        <f aca="true" t="shared" si="80" ref="N167:T167">SUM(N162:N166)</f>
        <v>0</v>
      </c>
      <c r="O167" s="89">
        <f t="shared" si="80"/>
        <v>0</v>
      </c>
      <c r="P167" s="61"/>
      <c r="Q167" s="61">
        <f t="shared" si="80"/>
        <v>0</v>
      </c>
      <c r="R167" s="61">
        <f t="shared" si="80"/>
        <v>0</v>
      </c>
      <c r="S167" s="61">
        <f t="shared" si="80"/>
        <v>0</v>
      </c>
      <c r="T167" s="61">
        <f t="shared" si="80"/>
        <v>0</v>
      </c>
    </row>
    <row r="168" spans="1:20" ht="15" customHeight="1">
      <c r="A168" s="881" t="s">
        <v>160</v>
      </c>
      <c r="B168" s="881"/>
      <c r="C168" s="881"/>
      <c r="D168" s="881"/>
      <c r="E168" s="881"/>
      <c r="F168" s="881"/>
      <c r="G168" s="881"/>
      <c r="H168" s="881"/>
      <c r="I168" s="881"/>
      <c r="J168" s="881"/>
      <c r="K168" s="881"/>
      <c r="L168" s="881"/>
      <c r="M168" s="881"/>
      <c r="N168" s="881"/>
      <c r="O168" s="881"/>
      <c r="P168" s="881"/>
      <c r="Q168" s="881"/>
      <c r="R168" s="881"/>
      <c r="S168" s="881"/>
      <c r="T168" s="881"/>
    </row>
    <row r="169" spans="1:20" ht="15" customHeight="1">
      <c r="A169" s="866">
        <v>20</v>
      </c>
      <c r="B169" s="882" t="s">
        <v>562</v>
      </c>
      <c r="C169" s="883" t="s">
        <v>564</v>
      </c>
      <c r="D169" s="6" t="s">
        <v>459</v>
      </c>
      <c r="E169" s="53">
        <v>3.2</v>
      </c>
      <c r="F169" s="53"/>
      <c r="G169" s="53"/>
      <c r="H169" s="53" t="s">
        <v>563</v>
      </c>
      <c r="I169" s="53"/>
      <c r="J169" s="53"/>
      <c r="K169" s="53"/>
      <c r="L169" s="16"/>
      <c r="M169" s="878" t="s">
        <v>565</v>
      </c>
      <c r="N169" s="878"/>
      <c r="O169" s="83"/>
      <c r="P169" s="83"/>
      <c r="Q169" s="16"/>
      <c r="R169" s="54"/>
      <c r="S169" s="16"/>
      <c r="T169" s="16"/>
    </row>
    <row r="170" spans="1:20" ht="15">
      <c r="A170" s="866"/>
      <c r="B170" s="882"/>
      <c r="C170" s="883"/>
      <c r="D170" s="6">
        <v>2010</v>
      </c>
      <c r="E170" s="53">
        <v>1.6</v>
      </c>
      <c r="F170" s="53"/>
      <c r="G170" s="53"/>
      <c r="H170" s="53">
        <v>1.6</v>
      </c>
      <c r="I170" s="53"/>
      <c r="J170" s="53"/>
      <c r="K170" s="53"/>
      <c r="L170" s="878"/>
      <c r="M170" s="878"/>
      <c r="N170" s="878"/>
      <c r="O170" s="83"/>
      <c r="P170" s="83"/>
      <c r="Q170" s="16"/>
      <c r="R170" s="54"/>
      <c r="S170" s="16"/>
      <c r="T170" s="16"/>
    </row>
    <row r="171" spans="1:20" ht="15">
      <c r="A171" s="866"/>
      <c r="B171" s="882"/>
      <c r="C171" s="883"/>
      <c r="D171" s="6">
        <v>2011</v>
      </c>
      <c r="E171" s="53">
        <v>1.6</v>
      </c>
      <c r="F171" s="53"/>
      <c r="G171" s="53"/>
      <c r="H171" s="53">
        <v>1.6</v>
      </c>
      <c r="I171" s="53"/>
      <c r="J171" s="53"/>
      <c r="K171" s="53"/>
      <c r="L171" s="878"/>
      <c r="M171" s="878"/>
      <c r="N171" s="878"/>
      <c r="O171" s="83"/>
      <c r="P171" s="83"/>
      <c r="Q171" s="16"/>
      <c r="R171" s="54"/>
      <c r="S171" s="16"/>
      <c r="T171" s="16"/>
    </row>
    <row r="172" spans="1:20" ht="15">
      <c r="A172" s="866"/>
      <c r="B172" s="882"/>
      <c r="C172" s="883"/>
      <c r="D172" s="36" t="s">
        <v>378</v>
      </c>
      <c r="E172" s="55">
        <f>E171+E170</f>
        <v>3.2</v>
      </c>
      <c r="F172" s="55"/>
      <c r="G172" s="55"/>
      <c r="H172" s="55">
        <f>SUM(H169:H171)</f>
        <v>3.2</v>
      </c>
      <c r="I172" s="55"/>
      <c r="J172" s="55"/>
      <c r="K172" s="55"/>
      <c r="L172" s="878"/>
      <c r="M172" s="878"/>
      <c r="N172" s="878"/>
      <c r="O172" s="83"/>
      <c r="P172" s="83"/>
      <c r="Q172" s="16"/>
      <c r="R172" s="54"/>
      <c r="S172" s="16"/>
      <c r="T172" s="16"/>
    </row>
    <row r="173" spans="1:20" ht="15.75" customHeight="1">
      <c r="A173" s="872" t="s">
        <v>131</v>
      </c>
      <c r="B173" s="872"/>
      <c r="C173" s="872"/>
      <c r="D173" s="872"/>
      <c r="E173" s="872"/>
      <c r="F173" s="872"/>
      <c r="G173" s="872"/>
      <c r="H173" s="872"/>
      <c r="I173" s="872"/>
      <c r="J173" s="872"/>
      <c r="K173" s="872"/>
      <c r="L173" s="872"/>
      <c r="M173" s="872"/>
      <c r="N173" s="872"/>
      <c r="O173" s="872"/>
      <c r="P173" s="872"/>
      <c r="Q173" s="872"/>
      <c r="R173" s="872"/>
      <c r="S173" s="872"/>
      <c r="T173" s="872"/>
    </row>
    <row r="174" spans="1:20" ht="15">
      <c r="A174" s="873"/>
      <c r="B174" s="874" t="s">
        <v>646</v>
      </c>
      <c r="C174" s="874"/>
      <c r="D174" s="38">
        <v>2010</v>
      </c>
      <c r="E174" s="52">
        <f>E181</f>
        <v>0.4</v>
      </c>
      <c r="F174" s="52">
        <f aca="true" t="shared" si="81" ref="F174:K174">F181</f>
        <v>0</v>
      </c>
      <c r="G174" s="52">
        <f t="shared" si="81"/>
        <v>0</v>
      </c>
      <c r="H174" s="52">
        <f t="shared" si="81"/>
        <v>0.4</v>
      </c>
      <c r="I174" s="52">
        <f t="shared" si="81"/>
        <v>0</v>
      </c>
      <c r="J174" s="52">
        <f t="shared" si="81"/>
        <v>0</v>
      </c>
      <c r="K174" s="52">
        <f t="shared" si="81"/>
        <v>0</v>
      </c>
      <c r="L174" s="875"/>
      <c r="M174" s="875"/>
      <c r="N174" s="52">
        <f>N181</f>
        <v>0.041999999999999996</v>
      </c>
      <c r="O174" s="52">
        <f aca="true" t="shared" si="82" ref="O174:T174">O181</f>
        <v>0.2</v>
      </c>
      <c r="P174" s="52">
        <f t="shared" si="82"/>
        <v>0</v>
      </c>
      <c r="Q174" s="52">
        <f t="shared" si="82"/>
        <v>0.0443748</v>
      </c>
      <c r="R174" s="52">
        <f t="shared" si="82"/>
        <v>0.03684</v>
      </c>
      <c r="S174" s="52">
        <f t="shared" si="82"/>
        <v>0.0052743600000000005</v>
      </c>
      <c r="T174" s="52">
        <f t="shared" si="82"/>
        <v>0.0022604400000000003</v>
      </c>
    </row>
    <row r="175" spans="1:20" ht="15">
      <c r="A175" s="873"/>
      <c r="B175" s="874"/>
      <c r="C175" s="874"/>
      <c r="D175" s="38">
        <v>2011</v>
      </c>
      <c r="E175" s="52">
        <f aca="true" t="shared" si="83" ref="E175:K178">E182</f>
        <v>0.4</v>
      </c>
      <c r="F175" s="52">
        <f t="shared" si="83"/>
        <v>0</v>
      </c>
      <c r="G175" s="52">
        <f t="shared" si="83"/>
        <v>0</v>
      </c>
      <c r="H175" s="52">
        <f t="shared" si="83"/>
        <v>0.4</v>
      </c>
      <c r="I175" s="52">
        <f t="shared" si="83"/>
        <v>0</v>
      </c>
      <c r="J175" s="52">
        <f t="shared" si="83"/>
        <v>0</v>
      </c>
      <c r="K175" s="52">
        <f t="shared" si="83"/>
        <v>0</v>
      </c>
      <c r="L175" s="875"/>
      <c r="M175" s="875"/>
      <c r="N175" s="52">
        <f aca="true" t="shared" si="84" ref="N175:T178">N182</f>
        <v>0.041999999999999996</v>
      </c>
      <c r="O175" s="52">
        <f t="shared" si="84"/>
        <v>0.2</v>
      </c>
      <c r="P175" s="52">
        <f t="shared" si="84"/>
        <v>0</v>
      </c>
      <c r="Q175" s="52">
        <f t="shared" si="84"/>
        <v>0.0443748</v>
      </c>
      <c r="R175" s="52">
        <f t="shared" si="84"/>
        <v>0.03684</v>
      </c>
      <c r="S175" s="52">
        <f t="shared" si="84"/>
        <v>0.0052743600000000005</v>
      </c>
      <c r="T175" s="52">
        <f t="shared" si="84"/>
        <v>0.0022604400000000003</v>
      </c>
    </row>
    <row r="176" spans="1:20" ht="15">
      <c r="A176" s="873"/>
      <c r="B176" s="874"/>
      <c r="C176" s="874"/>
      <c r="D176" s="38">
        <v>2012</v>
      </c>
      <c r="E176" s="52">
        <f t="shared" si="83"/>
        <v>0</v>
      </c>
      <c r="F176" s="52">
        <f t="shared" si="83"/>
        <v>0</v>
      </c>
      <c r="G176" s="52">
        <f t="shared" si="83"/>
        <v>0</v>
      </c>
      <c r="H176" s="52">
        <f t="shared" si="83"/>
        <v>0</v>
      </c>
      <c r="I176" s="52">
        <f t="shared" si="83"/>
        <v>0</v>
      </c>
      <c r="J176" s="52">
        <f t="shared" si="83"/>
        <v>0</v>
      </c>
      <c r="K176" s="52">
        <f t="shared" si="83"/>
        <v>0</v>
      </c>
      <c r="L176" s="875"/>
      <c r="M176" s="875"/>
      <c r="N176" s="52">
        <f t="shared" si="84"/>
        <v>0</v>
      </c>
      <c r="O176" s="52">
        <f t="shared" si="84"/>
        <v>0</v>
      </c>
      <c r="P176" s="52">
        <f t="shared" si="84"/>
        <v>0</v>
      </c>
      <c r="Q176" s="52">
        <f t="shared" si="84"/>
        <v>0</v>
      </c>
      <c r="R176" s="52">
        <f t="shared" si="84"/>
        <v>0</v>
      </c>
      <c r="S176" s="52">
        <f t="shared" si="84"/>
        <v>0</v>
      </c>
      <c r="T176" s="52">
        <f t="shared" si="84"/>
        <v>0</v>
      </c>
    </row>
    <row r="177" spans="1:20" ht="15">
      <c r="A177" s="873"/>
      <c r="B177" s="874"/>
      <c r="C177" s="874"/>
      <c r="D177" s="38">
        <v>2013</v>
      </c>
      <c r="E177" s="52">
        <f t="shared" si="83"/>
        <v>0</v>
      </c>
      <c r="F177" s="52">
        <f t="shared" si="83"/>
        <v>0</v>
      </c>
      <c r="G177" s="52">
        <f t="shared" si="83"/>
        <v>0</v>
      </c>
      <c r="H177" s="52">
        <f t="shared" si="83"/>
        <v>0</v>
      </c>
      <c r="I177" s="52">
        <f t="shared" si="83"/>
        <v>0</v>
      </c>
      <c r="J177" s="52">
        <f t="shared" si="83"/>
        <v>0</v>
      </c>
      <c r="K177" s="52">
        <f t="shared" si="83"/>
        <v>0</v>
      </c>
      <c r="L177" s="875"/>
      <c r="M177" s="875"/>
      <c r="N177" s="52">
        <f t="shared" si="84"/>
        <v>0</v>
      </c>
      <c r="O177" s="52">
        <f t="shared" si="84"/>
        <v>0</v>
      </c>
      <c r="P177" s="52">
        <f t="shared" si="84"/>
        <v>0</v>
      </c>
      <c r="Q177" s="52">
        <f t="shared" si="84"/>
        <v>0</v>
      </c>
      <c r="R177" s="52">
        <f t="shared" si="84"/>
        <v>0</v>
      </c>
      <c r="S177" s="52">
        <f t="shared" si="84"/>
        <v>0</v>
      </c>
      <c r="T177" s="52">
        <f t="shared" si="84"/>
        <v>0</v>
      </c>
    </row>
    <row r="178" spans="1:20" ht="15">
      <c r="A178" s="873"/>
      <c r="B178" s="874"/>
      <c r="C178" s="874"/>
      <c r="D178" s="38">
        <v>2014</v>
      </c>
      <c r="E178" s="52">
        <f t="shared" si="83"/>
        <v>0</v>
      </c>
      <c r="F178" s="52">
        <f t="shared" si="83"/>
        <v>0</v>
      </c>
      <c r="G178" s="52">
        <f t="shared" si="83"/>
        <v>0</v>
      </c>
      <c r="H178" s="52">
        <f t="shared" si="83"/>
        <v>0</v>
      </c>
      <c r="I178" s="52">
        <f t="shared" si="83"/>
        <v>0</v>
      </c>
      <c r="J178" s="52">
        <f t="shared" si="83"/>
        <v>0</v>
      </c>
      <c r="K178" s="52">
        <f t="shared" si="83"/>
        <v>0</v>
      </c>
      <c r="L178" s="875"/>
      <c r="M178" s="875"/>
      <c r="N178" s="52">
        <f t="shared" si="84"/>
        <v>0</v>
      </c>
      <c r="O178" s="52">
        <f t="shared" si="84"/>
        <v>0</v>
      </c>
      <c r="P178" s="52">
        <f t="shared" si="84"/>
        <v>0</v>
      </c>
      <c r="Q178" s="52">
        <f t="shared" si="84"/>
        <v>0</v>
      </c>
      <c r="R178" s="52">
        <f t="shared" si="84"/>
        <v>0</v>
      </c>
      <c r="S178" s="52">
        <f t="shared" si="84"/>
        <v>0</v>
      </c>
      <c r="T178" s="52">
        <f t="shared" si="84"/>
        <v>0</v>
      </c>
    </row>
    <row r="179" spans="1:20" ht="15">
      <c r="A179" s="873"/>
      <c r="B179" s="874"/>
      <c r="C179" s="874"/>
      <c r="D179" s="38" t="s">
        <v>378</v>
      </c>
      <c r="E179" s="52">
        <f>SUM(E174:E178)</f>
        <v>0.8</v>
      </c>
      <c r="F179" s="52">
        <f aca="true" t="shared" si="85" ref="F179:K179">SUM(F174:F178)</f>
        <v>0</v>
      </c>
      <c r="G179" s="52">
        <f t="shared" si="85"/>
        <v>0</v>
      </c>
      <c r="H179" s="52">
        <f t="shared" si="85"/>
        <v>0.8</v>
      </c>
      <c r="I179" s="52">
        <f t="shared" si="85"/>
        <v>0</v>
      </c>
      <c r="J179" s="52">
        <f t="shared" si="85"/>
        <v>0</v>
      </c>
      <c r="K179" s="52">
        <f t="shared" si="85"/>
        <v>0</v>
      </c>
      <c r="L179" s="875"/>
      <c r="M179" s="875"/>
      <c r="N179" s="82">
        <f aca="true" t="shared" si="86" ref="N179:T179">SUM(N174:N178)</f>
        <v>0.08399999999999999</v>
      </c>
      <c r="O179" s="82">
        <f t="shared" si="86"/>
        <v>0.4</v>
      </c>
      <c r="P179" s="82"/>
      <c r="Q179" s="82">
        <f t="shared" si="86"/>
        <v>0.0887496</v>
      </c>
      <c r="R179" s="82">
        <f t="shared" si="86"/>
        <v>0.07368</v>
      </c>
      <c r="S179" s="82">
        <f t="shared" si="86"/>
        <v>0.010548720000000001</v>
      </c>
      <c r="T179" s="82">
        <f t="shared" si="86"/>
        <v>0.0045208800000000006</v>
      </c>
    </row>
    <row r="180" spans="1:20" ht="15" customHeight="1">
      <c r="A180" s="866">
        <v>21</v>
      </c>
      <c r="B180" s="879" t="s">
        <v>139</v>
      </c>
      <c r="C180" s="880" t="s">
        <v>379</v>
      </c>
      <c r="D180" s="129" t="s">
        <v>570</v>
      </c>
      <c r="E180" s="57">
        <f aca="true" t="shared" si="87" ref="E180:K180">SUM(E181:E185)</f>
        <v>0.8</v>
      </c>
      <c r="F180" s="57">
        <f t="shared" si="87"/>
        <v>0</v>
      </c>
      <c r="G180" s="57">
        <f t="shared" si="87"/>
        <v>0</v>
      </c>
      <c r="H180" s="57">
        <f t="shared" si="87"/>
        <v>0.8</v>
      </c>
      <c r="I180" s="57">
        <f t="shared" si="87"/>
        <v>0</v>
      </c>
      <c r="J180" s="57">
        <f t="shared" si="87"/>
        <v>0</v>
      </c>
      <c r="K180" s="57">
        <f t="shared" si="87"/>
        <v>0</v>
      </c>
      <c r="L180" s="878" t="s">
        <v>395</v>
      </c>
      <c r="M180" s="878" t="s">
        <v>397</v>
      </c>
      <c r="N180" s="379">
        <f aca="true" t="shared" si="88" ref="N180:T180">SUM(N181:N185)</f>
        <v>0.08399999999999999</v>
      </c>
      <c r="O180" s="380">
        <f t="shared" si="88"/>
        <v>0.4</v>
      </c>
      <c r="P180" s="380"/>
      <c r="Q180" s="379">
        <f t="shared" si="88"/>
        <v>0.0887496</v>
      </c>
      <c r="R180" s="379">
        <f t="shared" si="88"/>
        <v>0.07368</v>
      </c>
      <c r="S180" s="379">
        <f t="shared" si="88"/>
        <v>0.010548720000000001</v>
      </c>
      <c r="T180" s="379">
        <f t="shared" si="88"/>
        <v>0.0045208800000000006</v>
      </c>
    </row>
    <row r="181" spans="1:20" ht="15">
      <c r="A181" s="866"/>
      <c r="B181" s="879"/>
      <c r="C181" s="880"/>
      <c r="D181" s="10">
        <v>2010</v>
      </c>
      <c r="E181" s="62">
        <f>SUM(F181:K181)</f>
        <v>0.4</v>
      </c>
      <c r="F181" s="53"/>
      <c r="G181" s="53"/>
      <c r="H181" s="53">
        <v>0.4</v>
      </c>
      <c r="I181" s="53"/>
      <c r="J181" s="53"/>
      <c r="K181" s="53"/>
      <c r="L181" s="878"/>
      <c r="M181" s="878"/>
      <c r="N181" s="99">
        <f>E181*0.7*0.15</f>
        <v>0.041999999999999996</v>
      </c>
      <c r="O181" s="100">
        <f>E181/2</f>
        <v>0.2</v>
      </c>
      <c r="P181" s="100"/>
      <c r="Q181" s="58">
        <f>SUM(R181:T181)</f>
        <v>0.0443748</v>
      </c>
      <c r="R181" s="34">
        <f>E181*0.5*0.18+N181*0.02</f>
        <v>0.03684</v>
      </c>
      <c r="S181" s="34">
        <f>(N181*0.18+(O181*12*21/1000))*0.13*0.7</f>
        <v>0.0052743600000000005</v>
      </c>
      <c r="T181" s="34">
        <f>(N181*0.18+(O181*12*21/1000))*0.13*0.3</f>
        <v>0.0022604400000000003</v>
      </c>
    </row>
    <row r="182" spans="1:20" ht="15">
      <c r="A182" s="866"/>
      <c r="B182" s="879"/>
      <c r="C182" s="880"/>
      <c r="D182" s="9">
        <v>2011</v>
      </c>
      <c r="E182" s="62">
        <f>SUM(F182:K182)</f>
        <v>0.4</v>
      </c>
      <c r="F182" s="53"/>
      <c r="G182" s="53"/>
      <c r="H182" s="53">
        <v>0.4</v>
      </c>
      <c r="I182" s="53"/>
      <c r="J182" s="53"/>
      <c r="K182" s="53"/>
      <c r="L182" s="878"/>
      <c r="M182" s="878"/>
      <c r="N182" s="99">
        <f>E182*0.7*0.15</f>
        <v>0.041999999999999996</v>
      </c>
      <c r="O182" s="100">
        <f>E182/2</f>
        <v>0.2</v>
      </c>
      <c r="P182" s="100"/>
      <c r="Q182" s="58">
        <f>SUM(R182:T182)</f>
        <v>0.0443748</v>
      </c>
      <c r="R182" s="34">
        <f>E182*0.5*0.18+N182*0.02</f>
        <v>0.03684</v>
      </c>
      <c r="S182" s="34">
        <f>(N182*0.18+(O182*12*21/1000))*0.13*0.7</f>
        <v>0.0052743600000000005</v>
      </c>
      <c r="T182" s="34">
        <f>(N182*0.18+(O182*12*21/1000))*0.13*0.3</f>
        <v>0.0022604400000000003</v>
      </c>
    </row>
    <row r="183" spans="1:20" ht="15">
      <c r="A183" s="866"/>
      <c r="B183" s="879"/>
      <c r="C183" s="880"/>
      <c r="D183" s="9">
        <v>2012</v>
      </c>
      <c r="E183" s="62">
        <f>SUM(F183:K183)</f>
        <v>0</v>
      </c>
      <c r="F183" s="53"/>
      <c r="G183" s="53"/>
      <c r="H183" s="53"/>
      <c r="I183" s="53"/>
      <c r="J183" s="53"/>
      <c r="K183" s="53"/>
      <c r="L183" s="878"/>
      <c r="M183" s="878"/>
      <c r="N183" s="99">
        <f>E183*0.7*0.15</f>
        <v>0</v>
      </c>
      <c r="O183" s="100">
        <f>E183/2</f>
        <v>0</v>
      </c>
      <c r="P183" s="100"/>
      <c r="Q183" s="58">
        <f>SUM(R183:T183)</f>
        <v>0</v>
      </c>
      <c r="R183" s="34">
        <f>E183*0.5*0.18+N183*0.02</f>
        <v>0</v>
      </c>
      <c r="S183" s="34">
        <f>(N183*0.18+(O183*12*21/1000))*0.13*0.7</f>
        <v>0</v>
      </c>
      <c r="T183" s="34">
        <f>(N183*0.18+(O183*12*21/1000))*0.13*0.3</f>
        <v>0</v>
      </c>
    </row>
    <row r="184" spans="1:20" ht="15">
      <c r="A184" s="866"/>
      <c r="B184" s="879"/>
      <c r="C184" s="880"/>
      <c r="D184" s="9">
        <v>2013</v>
      </c>
      <c r="E184" s="62">
        <f>SUM(F184:K184)</f>
        <v>0</v>
      </c>
      <c r="F184" s="53"/>
      <c r="G184" s="53"/>
      <c r="H184" s="53"/>
      <c r="I184" s="53"/>
      <c r="J184" s="53"/>
      <c r="K184" s="53"/>
      <c r="L184" s="878"/>
      <c r="M184" s="878"/>
      <c r="N184" s="99">
        <f>E184*0.7*0.15</f>
        <v>0</v>
      </c>
      <c r="O184" s="100">
        <f>E184/2</f>
        <v>0</v>
      </c>
      <c r="P184" s="100"/>
      <c r="Q184" s="58">
        <f>SUM(R184:T184)</f>
        <v>0</v>
      </c>
      <c r="R184" s="34">
        <f>E184*0.5*0.18+N184*0.02</f>
        <v>0</v>
      </c>
      <c r="S184" s="34">
        <f>(N184*0.18+(O184*12*21/1000))*0.13*0.7</f>
        <v>0</v>
      </c>
      <c r="T184" s="34">
        <f>(N184*0.18+(O184*12*21/1000))*0.13*0.3</f>
        <v>0</v>
      </c>
    </row>
    <row r="185" spans="1:20" ht="15">
      <c r="A185" s="866"/>
      <c r="B185" s="879"/>
      <c r="C185" s="880"/>
      <c r="D185" s="9">
        <v>2014</v>
      </c>
      <c r="E185" s="62">
        <f>SUM(F185:K185)</f>
        <v>0</v>
      </c>
      <c r="F185" s="53"/>
      <c r="G185" s="53"/>
      <c r="H185" s="53"/>
      <c r="I185" s="53"/>
      <c r="J185" s="53"/>
      <c r="K185" s="53"/>
      <c r="L185" s="878"/>
      <c r="M185" s="878"/>
      <c r="N185" s="99">
        <f>E185*0.7*0.15</f>
        <v>0</v>
      </c>
      <c r="O185" s="100">
        <f>E185/2</f>
        <v>0</v>
      </c>
      <c r="P185" s="100"/>
      <c r="Q185" s="58">
        <f>SUM(R185:T185)</f>
        <v>0</v>
      </c>
      <c r="R185" s="34">
        <f>E185*0.5*0.18+N185*0.02</f>
        <v>0</v>
      </c>
      <c r="S185" s="34">
        <f>(N185*0.18+(O185*12*21/1000))*0.13*0.7</f>
        <v>0</v>
      </c>
      <c r="T185" s="34">
        <f>(N185*0.18+(O185*12*21/1000))*0.13*0.3</f>
        <v>0</v>
      </c>
    </row>
    <row r="186" spans="1:20" ht="15">
      <c r="A186" s="866"/>
      <c r="B186" s="876"/>
      <c r="C186" s="877"/>
      <c r="D186" s="125"/>
      <c r="E186" s="62"/>
      <c r="F186" s="62"/>
      <c r="G186" s="62"/>
      <c r="H186" s="62"/>
      <c r="I186" s="62"/>
      <c r="J186" s="62"/>
      <c r="K186" s="62"/>
      <c r="L186" s="878"/>
      <c r="M186" s="871"/>
      <c r="N186" s="99"/>
      <c r="O186" s="103"/>
      <c r="P186" s="103"/>
      <c r="Q186" s="99"/>
      <c r="R186" s="99"/>
      <c r="S186" s="99"/>
      <c r="T186" s="99"/>
    </row>
    <row r="187" spans="1:20" ht="15">
      <c r="A187" s="866"/>
      <c r="B187" s="876"/>
      <c r="C187" s="877"/>
      <c r="D187" s="126"/>
      <c r="E187" s="62"/>
      <c r="F187" s="62"/>
      <c r="G187" s="62"/>
      <c r="H187" s="62"/>
      <c r="I187" s="62"/>
      <c r="J187" s="62"/>
      <c r="K187" s="62"/>
      <c r="L187" s="878"/>
      <c r="M187" s="871"/>
      <c r="N187" s="99"/>
      <c r="O187" s="100"/>
      <c r="P187" s="100"/>
      <c r="Q187" s="58"/>
      <c r="R187" s="34"/>
      <c r="S187" s="34"/>
      <c r="T187" s="34"/>
    </row>
    <row r="188" spans="1:20" ht="15">
      <c r="A188" s="866"/>
      <c r="B188" s="876"/>
      <c r="C188" s="877"/>
      <c r="D188" s="126"/>
      <c r="E188" s="62"/>
      <c r="F188" s="53"/>
      <c r="G188" s="53"/>
      <c r="H188" s="53"/>
      <c r="I188" s="53"/>
      <c r="J188" s="53"/>
      <c r="K188" s="53"/>
      <c r="L188" s="878"/>
      <c r="M188" s="871"/>
      <c r="N188" s="99"/>
      <c r="O188" s="100"/>
      <c r="P188" s="100"/>
      <c r="Q188" s="58"/>
      <c r="R188" s="34"/>
      <c r="S188" s="34"/>
      <c r="T188" s="34"/>
    </row>
    <row r="189" spans="1:20" ht="15">
      <c r="A189" s="866"/>
      <c r="B189" s="876"/>
      <c r="C189" s="877"/>
      <c r="D189" s="126"/>
      <c r="E189" s="62"/>
      <c r="F189" s="53"/>
      <c r="G189" s="53"/>
      <c r="H189" s="53"/>
      <c r="I189" s="53"/>
      <c r="J189" s="53"/>
      <c r="K189" s="53"/>
      <c r="L189" s="878"/>
      <c r="M189" s="871"/>
      <c r="N189" s="99"/>
      <c r="O189" s="100"/>
      <c r="P189" s="100"/>
      <c r="Q189" s="58"/>
      <c r="R189" s="34"/>
      <c r="S189" s="34"/>
      <c r="T189" s="34"/>
    </row>
    <row r="190" spans="1:20" ht="15">
      <c r="A190" s="866"/>
      <c r="B190" s="876"/>
      <c r="C190" s="877"/>
      <c r="D190" s="126"/>
      <c r="E190" s="62"/>
      <c r="F190" s="53"/>
      <c r="G190" s="53"/>
      <c r="H190" s="53"/>
      <c r="I190" s="53"/>
      <c r="J190" s="53"/>
      <c r="K190" s="53"/>
      <c r="L190" s="878"/>
      <c r="M190" s="871"/>
      <c r="N190" s="99"/>
      <c r="O190" s="100"/>
      <c r="P190" s="100"/>
      <c r="Q190" s="58"/>
      <c r="R190" s="34"/>
      <c r="S190" s="34"/>
      <c r="T190" s="34"/>
    </row>
    <row r="191" spans="1:20" ht="15">
      <c r="A191" s="866"/>
      <c r="B191" s="876"/>
      <c r="C191" s="877"/>
      <c r="D191" s="126"/>
      <c r="E191" s="62"/>
      <c r="F191" s="53"/>
      <c r="G191" s="53"/>
      <c r="H191" s="53"/>
      <c r="I191" s="53"/>
      <c r="J191" s="53"/>
      <c r="K191" s="53"/>
      <c r="L191" s="878"/>
      <c r="M191" s="871"/>
      <c r="N191" s="99"/>
      <c r="O191" s="100"/>
      <c r="P191" s="100"/>
      <c r="Q191" s="58"/>
      <c r="R191" s="34"/>
      <c r="S191" s="34"/>
      <c r="T191" s="34"/>
    </row>
    <row r="192" spans="1:20" ht="15.75" customHeight="1">
      <c r="A192" s="872" t="s">
        <v>163</v>
      </c>
      <c r="B192" s="872"/>
      <c r="C192" s="872"/>
      <c r="D192" s="872"/>
      <c r="E192" s="872"/>
      <c r="F192" s="872"/>
      <c r="G192" s="872"/>
      <c r="H192" s="872"/>
      <c r="I192" s="872"/>
      <c r="J192" s="872"/>
      <c r="K192" s="872"/>
      <c r="L192" s="872"/>
      <c r="M192" s="872"/>
      <c r="N192" s="872"/>
      <c r="O192" s="872"/>
      <c r="P192" s="872"/>
      <c r="Q192" s="872"/>
      <c r="R192" s="872"/>
      <c r="S192" s="872"/>
      <c r="T192" s="872"/>
    </row>
    <row r="193" spans="1:20" ht="25.5">
      <c r="A193" s="873"/>
      <c r="B193" s="874" t="s">
        <v>646</v>
      </c>
      <c r="C193" s="874"/>
      <c r="D193" s="38">
        <v>2010</v>
      </c>
      <c r="E193" s="52">
        <f>E200</f>
        <v>0.2</v>
      </c>
      <c r="F193" s="52">
        <f aca="true" t="shared" si="89" ref="F193:K193">F200</f>
        <v>0</v>
      </c>
      <c r="G193" s="52">
        <f t="shared" si="89"/>
        <v>0</v>
      </c>
      <c r="H193" s="52">
        <f t="shared" si="89"/>
        <v>0.1</v>
      </c>
      <c r="I193" s="52">
        <f t="shared" si="89"/>
        <v>0.1</v>
      </c>
      <c r="J193" s="52">
        <f t="shared" si="89"/>
        <v>0</v>
      </c>
      <c r="K193" s="52">
        <f t="shared" si="89"/>
        <v>0</v>
      </c>
      <c r="L193" s="875" t="s">
        <v>395</v>
      </c>
      <c r="M193" s="875" t="s">
        <v>395</v>
      </c>
      <c r="N193" s="40"/>
      <c r="O193" s="81" t="s">
        <v>789</v>
      </c>
      <c r="P193" s="81"/>
      <c r="Q193" s="52">
        <f>Q200</f>
        <v>0</v>
      </c>
      <c r="R193" s="52">
        <f>R200</f>
        <v>0</v>
      </c>
      <c r="S193" s="52">
        <f>S200</f>
        <v>0</v>
      </c>
      <c r="T193" s="52">
        <f>T200</f>
        <v>0</v>
      </c>
    </row>
    <row r="194" spans="1:20" ht="25.5">
      <c r="A194" s="873"/>
      <c r="B194" s="874"/>
      <c r="C194" s="874"/>
      <c r="D194" s="38">
        <v>2011</v>
      </c>
      <c r="E194" s="52">
        <f aca="true" t="shared" si="90" ref="E194:K197">E201</f>
        <v>0.2</v>
      </c>
      <c r="F194" s="52">
        <f t="shared" si="90"/>
        <v>0</v>
      </c>
      <c r="G194" s="52">
        <f t="shared" si="90"/>
        <v>0</v>
      </c>
      <c r="H194" s="52">
        <f t="shared" si="90"/>
        <v>0.1</v>
      </c>
      <c r="I194" s="52">
        <f t="shared" si="90"/>
        <v>0.1</v>
      </c>
      <c r="J194" s="52">
        <f t="shared" si="90"/>
        <v>0</v>
      </c>
      <c r="K194" s="52">
        <f t="shared" si="90"/>
        <v>0</v>
      </c>
      <c r="L194" s="875"/>
      <c r="M194" s="875"/>
      <c r="N194" s="40"/>
      <c r="O194" s="81" t="s">
        <v>789</v>
      </c>
      <c r="P194" s="81"/>
      <c r="Q194" s="52">
        <f aca="true" t="shared" si="91" ref="Q194:T197">Q201</f>
        <v>0</v>
      </c>
      <c r="R194" s="52">
        <f t="shared" si="91"/>
        <v>0</v>
      </c>
      <c r="S194" s="52">
        <f t="shared" si="91"/>
        <v>0</v>
      </c>
      <c r="T194" s="52">
        <f t="shared" si="91"/>
        <v>0</v>
      </c>
    </row>
    <row r="195" spans="1:20" ht="25.5">
      <c r="A195" s="873"/>
      <c r="B195" s="874"/>
      <c r="C195" s="874"/>
      <c r="D195" s="38">
        <v>2012</v>
      </c>
      <c r="E195" s="52">
        <f t="shared" si="90"/>
        <v>0</v>
      </c>
      <c r="F195" s="52">
        <f t="shared" si="90"/>
        <v>0</v>
      </c>
      <c r="G195" s="52">
        <f t="shared" si="90"/>
        <v>0</v>
      </c>
      <c r="H195" s="52">
        <f t="shared" si="90"/>
        <v>0</v>
      </c>
      <c r="I195" s="52">
        <f t="shared" si="90"/>
        <v>0</v>
      </c>
      <c r="J195" s="52">
        <f t="shared" si="90"/>
        <v>0</v>
      </c>
      <c r="K195" s="52">
        <f t="shared" si="90"/>
        <v>0</v>
      </c>
      <c r="L195" s="875"/>
      <c r="M195" s="875"/>
      <c r="N195" s="40"/>
      <c r="O195" s="81" t="s">
        <v>789</v>
      </c>
      <c r="P195" s="81"/>
      <c r="Q195" s="52">
        <f t="shared" si="91"/>
        <v>0</v>
      </c>
      <c r="R195" s="52">
        <f t="shared" si="91"/>
        <v>0</v>
      </c>
      <c r="S195" s="52">
        <f t="shared" si="91"/>
        <v>0</v>
      </c>
      <c r="T195" s="52">
        <f t="shared" si="91"/>
        <v>0</v>
      </c>
    </row>
    <row r="196" spans="1:20" ht="25.5">
      <c r="A196" s="873"/>
      <c r="B196" s="874"/>
      <c r="C196" s="874"/>
      <c r="D196" s="38">
        <v>2013</v>
      </c>
      <c r="E196" s="52">
        <f t="shared" si="90"/>
        <v>0</v>
      </c>
      <c r="F196" s="52">
        <f t="shared" si="90"/>
        <v>0</v>
      </c>
      <c r="G196" s="52">
        <f t="shared" si="90"/>
        <v>0</v>
      </c>
      <c r="H196" s="52">
        <f t="shared" si="90"/>
        <v>0</v>
      </c>
      <c r="I196" s="52">
        <f t="shared" si="90"/>
        <v>0</v>
      </c>
      <c r="J196" s="52">
        <f t="shared" si="90"/>
        <v>0</v>
      </c>
      <c r="K196" s="52">
        <f t="shared" si="90"/>
        <v>0</v>
      </c>
      <c r="L196" s="875"/>
      <c r="M196" s="875"/>
      <c r="N196" s="40"/>
      <c r="O196" s="81" t="s">
        <v>789</v>
      </c>
      <c r="P196" s="81"/>
      <c r="Q196" s="52">
        <f t="shared" si="91"/>
        <v>0</v>
      </c>
      <c r="R196" s="52">
        <f t="shared" si="91"/>
        <v>0</v>
      </c>
      <c r="S196" s="52">
        <f t="shared" si="91"/>
        <v>0</v>
      </c>
      <c r="T196" s="52">
        <f t="shared" si="91"/>
        <v>0</v>
      </c>
    </row>
    <row r="197" spans="1:20" ht="25.5">
      <c r="A197" s="873"/>
      <c r="B197" s="874"/>
      <c r="C197" s="874"/>
      <c r="D197" s="38">
        <v>2014</v>
      </c>
      <c r="E197" s="52">
        <f t="shared" si="90"/>
        <v>0</v>
      </c>
      <c r="F197" s="52">
        <f t="shared" si="90"/>
        <v>0</v>
      </c>
      <c r="G197" s="52">
        <f t="shared" si="90"/>
        <v>0</v>
      </c>
      <c r="H197" s="52">
        <f t="shared" si="90"/>
        <v>0</v>
      </c>
      <c r="I197" s="52">
        <f t="shared" si="90"/>
        <v>0</v>
      </c>
      <c r="J197" s="52">
        <f t="shared" si="90"/>
        <v>0</v>
      </c>
      <c r="K197" s="52">
        <f t="shared" si="90"/>
        <v>0</v>
      </c>
      <c r="L197" s="875"/>
      <c r="M197" s="875"/>
      <c r="N197" s="40"/>
      <c r="O197" s="81" t="s">
        <v>789</v>
      </c>
      <c r="P197" s="81"/>
      <c r="Q197" s="52">
        <f t="shared" si="91"/>
        <v>0</v>
      </c>
      <c r="R197" s="52">
        <f t="shared" si="91"/>
        <v>0</v>
      </c>
      <c r="S197" s="52">
        <f t="shared" si="91"/>
        <v>0</v>
      </c>
      <c r="T197" s="52">
        <f t="shared" si="91"/>
        <v>0</v>
      </c>
    </row>
    <row r="198" spans="1:20" ht="25.5">
      <c r="A198" s="873"/>
      <c r="B198" s="874"/>
      <c r="C198" s="874"/>
      <c r="D198" s="38" t="s">
        <v>378</v>
      </c>
      <c r="E198" s="52">
        <f>SUM(E193:E197)</f>
        <v>0.4</v>
      </c>
      <c r="F198" s="52">
        <f aca="true" t="shared" si="92" ref="F198:K198">SUM(F193:F197)</f>
        <v>0</v>
      </c>
      <c r="G198" s="52">
        <f t="shared" si="92"/>
        <v>0</v>
      </c>
      <c r="H198" s="52">
        <f t="shared" si="92"/>
        <v>0.2</v>
      </c>
      <c r="I198" s="52">
        <f t="shared" si="92"/>
        <v>0.2</v>
      </c>
      <c r="J198" s="52">
        <f t="shared" si="92"/>
        <v>0</v>
      </c>
      <c r="K198" s="52">
        <f t="shared" si="92"/>
        <v>0</v>
      </c>
      <c r="L198" s="875"/>
      <c r="M198" s="875"/>
      <c r="N198" s="40"/>
      <c r="O198" s="81" t="s">
        <v>789</v>
      </c>
      <c r="P198" s="81"/>
      <c r="Q198" s="52">
        <f>SUM(Q193:Q197)</f>
        <v>0</v>
      </c>
      <c r="R198" s="52">
        <f>SUM(R193:R197)</f>
        <v>0</v>
      </c>
      <c r="S198" s="52">
        <f>SUM(S193:S197)</f>
        <v>0</v>
      </c>
      <c r="T198" s="52">
        <f>SUM(T193:T197)</f>
        <v>0</v>
      </c>
    </row>
    <row r="199" spans="1:20" ht="15" customHeight="1">
      <c r="A199" s="866">
        <v>22</v>
      </c>
      <c r="B199" s="867" t="s">
        <v>152</v>
      </c>
      <c r="C199" s="868"/>
      <c r="D199" s="129" t="s">
        <v>570</v>
      </c>
      <c r="E199" s="57">
        <f aca="true" t="shared" si="93" ref="E199:K199">SUM(E200:E204)</f>
        <v>0.4</v>
      </c>
      <c r="F199" s="57">
        <f t="shared" si="93"/>
        <v>0</v>
      </c>
      <c r="G199" s="57">
        <f t="shared" si="93"/>
        <v>0</v>
      </c>
      <c r="H199" s="57">
        <f t="shared" si="93"/>
        <v>0.2</v>
      </c>
      <c r="I199" s="57">
        <f t="shared" si="93"/>
        <v>0.2</v>
      </c>
      <c r="J199" s="57">
        <f t="shared" si="93"/>
        <v>0</v>
      </c>
      <c r="K199" s="57">
        <f t="shared" si="93"/>
        <v>0</v>
      </c>
      <c r="L199" s="869"/>
      <c r="M199" s="870"/>
      <c r="N199" s="870"/>
      <c r="O199" s="92">
        <v>0</v>
      </c>
      <c r="P199" s="92"/>
      <c r="Q199" s="35">
        <f>SUM(Q200:Q204)</f>
        <v>0</v>
      </c>
      <c r="R199" s="35">
        <f>SUM(R200:R204)</f>
        <v>0</v>
      </c>
      <c r="S199" s="253">
        <f>SUM(S200:S204)</f>
        <v>0</v>
      </c>
      <c r="T199" s="253">
        <f>SUM(T200:T204)</f>
        <v>0</v>
      </c>
    </row>
    <row r="200" spans="1:20" ht="15">
      <c r="A200" s="866"/>
      <c r="B200" s="867"/>
      <c r="C200" s="868"/>
      <c r="D200" s="10">
        <v>2010</v>
      </c>
      <c r="E200" s="62">
        <f>SUM(F200:K200)</f>
        <v>0.2</v>
      </c>
      <c r="F200" s="62"/>
      <c r="G200" s="62"/>
      <c r="H200" s="62">
        <v>0.1</v>
      </c>
      <c r="I200" s="62">
        <v>0.1</v>
      </c>
      <c r="J200" s="62"/>
      <c r="K200" s="62"/>
      <c r="L200" s="869"/>
      <c r="M200" s="870"/>
      <c r="N200" s="870"/>
      <c r="O200" s="90">
        <v>0</v>
      </c>
      <c r="P200" s="90"/>
      <c r="Q200" s="64">
        <v>0</v>
      </c>
      <c r="R200" s="64"/>
      <c r="S200" s="64"/>
      <c r="T200" s="64"/>
    </row>
    <row r="201" spans="1:20" ht="15">
      <c r="A201" s="866"/>
      <c r="B201" s="867"/>
      <c r="C201" s="868"/>
      <c r="D201" s="10">
        <v>2011</v>
      </c>
      <c r="E201" s="62">
        <f>SUM(F201:K201)</f>
        <v>0.2</v>
      </c>
      <c r="F201" s="62"/>
      <c r="G201" s="62"/>
      <c r="H201" s="62">
        <v>0.1</v>
      </c>
      <c r="I201" s="62">
        <v>0.1</v>
      </c>
      <c r="J201" s="62"/>
      <c r="K201" s="62"/>
      <c r="L201" s="869"/>
      <c r="M201" s="870"/>
      <c r="N201" s="870"/>
      <c r="O201" s="90">
        <v>0</v>
      </c>
      <c r="P201" s="90"/>
      <c r="Q201" s="64">
        <v>0</v>
      </c>
      <c r="R201" s="64"/>
      <c r="S201" s="64"/>
      <c r="T201" s="64"/>
    </row>
    <row r="202" spans="1:20" ht="15">
      <c r="A202" s="866"/>
      <c r="B202" s="867"/>
      <c r="C202" s="868"/>
      <c r="D202" s="9">
        <v>2012</v>
      </c>
      <c r="E202" s="62"/>
      <c r="F202" s="62"/>
      <c r="G202" s="63"/>
      <c r="H202" s="62"/>
      <c r="I202" s="62"/>
      <c r="J202" s="63"/>
      <c r="K202" s="63"/>
      <c r="L202" s="869"/>
      <c r="M202" s="870"/>
      <c r="N202" s="870"/>
      <c r="O202" s="90">
        <v>0</v>
      </c>
      <c r="P202" s="90"/>
      <c r="Q202" s="64">
        <v>0</v>
      </c>
      <c r="R202" s="64"/>
      <c r="S202" s="64"/>
      <c r="T202" s="64"/>
    </row>
    <row r="203" spans="1:20" ht="15">
      <c r="A203" s="866"/>
      <c r="B203" s="867"/>
      <c r="C203" s="868"/>
      <c r="D203" s="9">
        <v>2013</v>
      </c>
      <c r="E203" s="62"/>
      <c r="F203" s="62"/>
      <c r="G203" s="63"/>
      <c r="H203" s="62"/>
      <c r="I203" s="62"/>
      <c r="J203" s="63"/>
      <c r="K203" s="63"/>
      <c r="L203" s="869"/>
      <c r="M203" s="870"/>
      <c r="N203" s="870"/>
      <c r="O203" s="90">
        <v>0</v>
      </c>
      <c r="P203" s="90"/>
      <c r="Q203" s="64">
        <v>0</v>
      </c>
      <c r="R203" s="64"/>
      <c r="S203" s="64"/>
      <c r="T203" s="64"/>
    </row>
    <row r="204" spans="1:20" ht="66" customHeight="1">
      <c r="A204" s="866"/>
      <c r="B204" s="867"/>
      <c r="C204" s="868"/>
      <c r="D204" s="9">
        <v>2014</v>
      </c>
      <c r="E204" s="62"/>
      <c r="F204" s="62"/>
      <c r="G204" s="63"/>
      <c r="H204" s="62"/>
      <c r="I204" s="62"/>
      <c r="J204" s="63"/>
      <c r="K204" s="63"/>
      <c r="L204" s="869"/>
      <c r="M204" s="870"/>
      <c r="N204" s="870"/>
      <c r="O204" s="90">
        <v>0</v>
      </c>
      <c r="P204" s="90"/>
      <c r="Q204" s="64">
        <v>0</v>
      </c>
      <c r="R204" s="64"/>
      <c r="S204" s="64"/>
      <c r="T204" s="64"/>
    </row>
    <row r="205" spans="1:20" ht="15.75">
      <c r="A205" s="269"/>
      <c r="B205" s="276" t="s">
        <v>655</v>
      </c>
      <c r="C205" s="104"/>
      <c r="D205" s="28"/>
      <c r="E205" s="108"/>
      <c r="F205" s="108"/>
      <c r="G205" s="109"/>
      <c r="H205" s="108"/>
      <c r="I205" s="108"/>
      <c r="J205" s="109"/>
      <c r="K205" s="109"/>
      <c r="L205" s="376"/>
      <c r="M205" s="105"/>
      <c r="N205" s="105"/>
      <c r="O205" s="106"/>
      <c r="P205" s="106"/>
      <c r="Q205" s="105"/>
      <c r="R205" s="105"/>
      <c r="S205" s="105"/>
      <c r="T205" s="105"/>
    </row>
    <row r="206" spans="1:20" ht="15.75" customHeight="1">
      <c r="A206" s="19" t="s">
        <v>434</v>
      </c>
      <c r="B206" s="865" t="s">
        <v>54</v>
      </c>
      <c r="C206" s="865"/>
      <c r="D206" s="865"/>
      <c r="E206" s="865"/>
      <c r="F206" s="865"/>
      <c r="G206" s="865"/>
      <c r="H206" s="865"/>
      <c r="I206" s="865"/>
      <c r="J206" s="865"/>
      <c r="K206" s="865"/>
      <c r="L206" s="865"/>
      <c r="M206" s="865"/>
      <c r="N206" s="865"/>
      <c r="O206" s="865"/>
      <c r="P206" s="865"/>
      <c r="Q206" s="865"/>
      <c r="R206" s="865"/>
      <c r="S206" s="865"/>
      <c r="T206" s="865"/>
    </row>
  </sheetData>
  <sheetProtection/>
  <mergeCells count="176">
    <mergeCell ref="I1:J1"/>
    <mergeCell ref="Q1:T1"/>
    <mergeCell ref="A2:T2"/>
    <mergeCell ref="R3:T3"/>
    <mergeCell ref="M4:M5"/>
    <mergeCell ref="N4:N5"/>
    <mergeCell ref="A4:A5"/>
    <mergeCell ref="B4:B5"/>
    <mergeCell ref="C4:C5"/>
    <mergeCell ref="L4:L5"/>
    <mergeCell ref="V4:V5"/>
    <mergeCell ref="A6:A11"/>
    <mergeCell ref="B6:C11"/>
    <mergeCell ref="L6:L11"/>
    <mergeCell ref="M6:M11"/>
    <mergeCell ref="O4:O5"/>
    <mergeCell ref="P4:P5"/>
    <mergeCell ref="Q4:T4"/>
    <mergeCell ref="U4:U5"/>
    <mergeCell ref="D4:D5"/>
    <mergeCell ref="A12:T12"/>
    <mergeCell ref="A14:T14"/>
    <mergeCell ref="A15:A20"/>
    <mergeCell ref="B15:B20"/>
    <mergeCell ref="C15:C20"/>
    <mergeCell ref="L15:L20"/>
    <mergeCell ref="M15:M20"/>
    <mergeCell ref="N15:N20"/>
    <mergeCell ref="E4:K4"/>
    <mergeCell ref="A21:T21"/>
    <mergeCell ref="A22:A27"/>
    <mergeCell ref="B22:C27"/>
    <mergeCell ref="A28:A33"/>
    <mergeCell ref="B28:B33"/>
    <mergeCell ref="C28:C33"/>
    <mergeCell ref="L28:L33"/>
    <mergeCell ref="M28:M33"/>
    <mergeCell ref="L22:L27"/>
    <mergeCell ref="M34:M39"/>
    <mergeCell ref="M40:M45"/>
    <mergeCell ref="A40:A45"/>
    <mergeCell ref="B40:B45"/>
    <mergeCell ref="C40:C45"/>
    <mergeCell ref="L40:L45"/>
    <mergeCell ref="A34:A39"/>
    <mergeCell ref="B34:B39"/>
    <mergeCell ref="C34:C39"/>
    <mergeCell ref="L34:L39"/>
    <mergeCell ref="C59:C62"/>
    <mergeCell ref="A46:A51"/>
    <mergeCell ref="B46:B51"/>
    <mergeCell ref="C46:C51"/>
    <mergeCell ref="A52:T52"/>
    <mergeCell ref="A53:A58"/>
    <mergeCell ref="B53:C58"/>
    <mergeCell ref="L53:L58"/>
    <mergeCell ref="M53:M58"/>
    <mergeCell ref="N77:N82"/>
    <mergeCell ref="A77:A82"/>
    <mergeCell ref="A76:T76"/>
    <mergeCell ref="L77:L82"/>
    <mergeCell ref="A63:T63"/>
    <mergeCell ref="B64:C69"/>
    <mergeCell ref="A64:A69"/>
    <mergeCell ref="L64:L69"/>
    <mergeCell ref="A70:A75"/>
    <mergeCell ref="M64:M69"/>
    <mergeCell ref="M70:M75"/>
    <mergeCell ref="L70:L75"/>
    <mergeCell ref="M83:M88"/>
    <mergeCell ref="M77:M82"/>
    <mergeCell ref="L46:L51"/>
    <mergeCell ref="M46:M51"/>
    <mergeCell ref="C70:C75"/>
    <mergeCell ref="B77:B82"/>
    <mergeCell ref="C77:C82"/>
    <mergeCell ref="L83:L88"/>
    <mergeCell ref="C83:C88"/>
    <mergeCell ref="B70:B75"/>
    <mergeCell ref="M89:M94"/>
    <mergeCell ref="A95:A100"/>
    <mergeCell ref="B95:B100"/>
    <mergeCell ref="C95:C100"/>
    <mergeCell ref="L95:L100"/>
    <mergeCell ref="M95:M100"/>
    <mergeCell ref="A89:A94"/>
    <mergeCell ref="B89:B94"/>
    <mergeCell ref="C89:C94"/>
    <mergeCell ref="L89:L94"/>
    <mergeCell ref="A83:A88"/>
    <mergeCell ref="B83:B88"/>
    <mergeCell ref="L109:L114"/>
    <mergeCell ref="A108:T108"/>
    <mergeCell ref="A101:T101"/>
    <mergeCell ref="A102:A107"/>
    <mergeCell ref="B102:C107"/>
    <mergeCell ref="L102:L107"/>
    <mergeCell ref="M102:M107"/>
    <mergeCell ref="M109:M114"/>
    <mergeCell ref="M115:M120"/>
    <mergeCell ref="A109:A114"/>
    <mergeCell ref="B109:B114"/>
    <mergeCell ref="C109:C114"/>
    <mergeCell ref="A115:A120"/>
    <mergeCell ref="B115:B120"/>
    <mergeCell ref="C115:C120"/>
    <mergeCell ref="L115:L120"/>
    <mergeCell ref="A122:T122"/>
    <mergeCell ref="A123:A128"/>
    <mergeCell ref="B123:C128"/>
    <mergeCell ref="L123:L128"/>
    <mergeCell ref="M123:M128"/>
    <mergeCell ref="A121:T121"/>
    <mergeCell ref="A136:A141"/>
    <mergeCell ref="B136:B141"/>
    <mergeCell ref="L136:L141"/>
    <mergeCell ref="M136:M141"/>
    <mergeCell ref="C136:C141"/>
    <mergeCell ref="A129:T129"/>
    <mergeCell ref="A130:A135"/>
    <mergeCell ref="B130:C135"/>
    <mergeCell ref="L130:L135"/>
    <mergeCell ref="M130:M135"/>
    <mergeCell ref="A148:T148"/>
    <mergeCell ref="A149:A154"/>
    <mergeCell ref="B149:C154"/>
    <mergeCell ref="L149:L154"/>
    <mergeCell ref="M149:M154"/>
    <mergeCell ref="A142:A147"/>
    <mergeCell ref="B142:B147"/>
    <mergeCell ref="C142:C147"/>
    <mergeCell ref="L142:M147"/>
    <mergeCell ref="A161:T161"/>
    <mergeCell ref="A162:A167"/>
    <mergeCell ref="B162:C167"/>
    <mergeCell ref="L162:L167"/>
    <mergeCell ref="M162:M167"/>
    <mergeCell ref="M155:M160"/>
    <mergeCell ref="A155:A160"/>
    <mergeCell ref="B155:B160"/>
    <mergeCell ref="C155:C160"/>
    <mergeCell ref="L155:L160"/>
    <mergeCell ref="A168:T168"/>
    <mergeCell ref="A169:A172"/>
    <mergeCell ref="B169:B172"/>
    <mergeCell ref="C169:C172"/>
    <mergeCell ref="M169:M172"/>
    <mergeCell ref="N169:N172"/>
    <mergeCell ref="L170:L172"/>
    <mergeCell ref="M180:M185"/>
    <mergeCell ref="A180:A185"/>
    <mergeCell ref="B180:B185"/>
    <mergeCell ref="C180:C185"/>
    <mergeCell ref="L180:L185"/>
    <mergeCell ref="A173:T173"/>
    <mergeCell ref="A174:A179"/>
    <mergeCell ref="B174:C179"/>
    <mergeCell ref="L174:L179"/>
    <mergeCell ref="M174:M179"/>
    <mergeCell ref="M186:M191"/>
    <mergeCell ref="A192:T192"/>
    <mergeCell ref="A193:A198"/>
    <mergeCell ref="B193:C198"/>
    <mergeCell ref="L193:L198"/>
    <mergeCell ref="M193:M198"/>
    <mergeCell ref="A186:A191"/>
    <mergeCell ref="B186:B191"/>
    <mergeCell ref="C186:C191"/>
    <mergeCell ref="L186:L191"/>
    <mergeCell ref="B206:T206"/>
    <mergeCell ref="A199:A204"/>
    <mergeCell ref="B199:B204"/>
    <mergeCell ref="C199:C204"/>
    <mergeCell ref="L199:L204"/>
    <mergeCell ref="M199:M204"/>
    <mergeCell ref="N199:N204"/>
  </mergeCells>
  <printOptions/>
  <pageMargins left="0.18" right="0.17" top="0.17" bottom="0.19" header="0.17" footer="0.19"/>
  <pageSetup horizontalDpi="600" verticalDpi="600" orientation="landscape" paperSize="9" scale="53" r:id="rId3"/>
  <headerFooter alignWithMargins="0">
    <oddFooter>&amp;R&amp;P</oddFooter>
  </headerFooter>
  <rowBreaks count="5" manualBreakCount="5">
    <brk id="45" max="255" man="1"/>
    <brk id="71" max="255" man="1"/>
    <brk id="80" max="255" man="1"/>
    <brk id="92" max="255" man="1"/>
    <brk id="150" max="19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V145"/>
  <sheetViews>
    <sheetView view="pageBreakPreview" zoomScale="50" zoomScaleSheetLayoutView="50" zoomScalePageLayoutView="0" workbookViewId="0" topLeftCell="A1">
      <pane xSplit="4" ySplit="5" topLeftCell="E9" activePane="bottomRight" state="frozen"/>
      <selection pane="topLeft" activeCell="A192" sqref="A192:T192"/>
      <selection pane="topRight" activeCell="A192" sqref="A192:T192"/>
      <selection pane="bottomLeft" activeCell="A192" sqref="A192:T192"/>
      <selection pane="bottomRight" activeCell="A192" sqref="A192:T192"/>
    </sheetView>
  </sheetViews>
  <sheetFormatPr defaultColWidth="9.00390625" defaultRowHeight="12.75"/>
  <cols>
    <col min="1" max="1" width="6.75390625" style="3" customWidth="1"/>
    <col min="2" max="2" width="25.875" style="95" customWidth="1"/>
    <col min="3" max="3" width="23.125" style="15" customWidth="1"/>
    <col min="4" max="4" width="12.00390625" style="2" customWidth="1"/>
    <col min="5" max="5" width="11.375" style="47" bestFit="1" customWidth="1"/>
    <col min="6" max="6" width="10.875" style="47" customWidth="1"/>
    <col min="7" max="7" width="8.75390625" style="47" customWidth="1"/>
    <col min="8" max="8" width="7.25390625" style="47" customWidth="1"/>
    <col min="9" max="9" width="11.375" style="47" bestFit="1" customWidth="1"/>
    <col min="10" max="10" width="12.75390625" style="47" bestFit="1" customWidth="1"/>
    <col min="11" max="11" width="10.375" style="47" bestFit="1" customWidth="1"/>
    <col min="12" max="12" width="11.125" style="49" customWidth="1"/>
    <col min="13" max="13" width="18.125" style="49" customWidth="1"/>
    <col min="14" max="14" width="12.625" style="49" customWidth="1"/>
    <col min="15" max="15" width="16.375" style="78" customWidth="1"/>
    <col min="16" max="16" width="11.25390625" style="78" hidden="1" customWidth="1"/>
    <col min="17" max="17" width="8.125" style="51" customWidth="1"/>
    <col min="18" max="18" width="8.875" style="49" customWidth="1"/>
    <col min="19" max="19" width="7.875" style="49" customWidth="1"/>
    <col min="20" max="20" width="7.625" style="49" customWidth="1"/>
    <col min="21" max="16384" width="9.125" style="1" customWidth="1"/>
  </cols>
  <sheetData>
    <row r="1" spans="9:20" ht="18" customHeight="1">
      <c r="I1" s="927"/>
      <c r="J1" s="927"/>
      <c r="K1" s="48"/>
      <c r="L1" s="375"/>
      <c r="Q1" s="928" t="s">
        <v>399</v>
      </c>
      <c r="R1" s="928"/>
      <c r="S1" s="928"/>
      <c r="T1" s="928"/>
    </row>
    <row r="2" spans="1:20" ht="26.25" customHeight="1">
      <c r="A2" s="929" t="s">
        <v>568</v>
      </c>
      <c r="B2" s="929"/>
      <c r="C2" s="929"/>
      <c r="D2" s="929"/>
      <c r="E2" s="929"/>
      <c r="F2" s="929"/>
      <c r="G2" s="929"/>
      <c r="H2" s="929"/>
      <c r="I2" s="929"/>
      <c r="J2" s="929"/>
      <c r="K2" s="929"/>
      <c r="L2" s="929"/>
      <c r="M2" s="929"/>
      <c r="N2" s="929"/>
      <c r="O2" s="929"/>
      <c r="P2" s="929"/>
      <c r="Q2" s="929"/>
      <c r="R2" s="929"/>
      <c r="S2" s="929"/>
      <c r="T2" s="929"/>
    </row>
    <row r="3" spans="1:20" ht="11.25" customHeight="1">
      <c r="A3" s="4"/>
      <c r="B3" s="96"/>
      <c r="C3" s="18"/>
      <c r="D3" s="5"/>
      <c r="E3" s="50"/>
      <c r="F3" s="50"/>
      <c r="G3" s="50"/>
      <c r="H3" s="50"/>
      <c r="I3" s="50"/>
      <c r="J3" s="50"/>
      <c r="K3" s="50"/>
      <c r="L3" s="375"/>
      <c r="R3" s="930"/>
      <c r="S3" s="930"/>
      <c r="T3" s="930"/>
    </row>
    <row r="4" spans="1:20" ht="39.75" customHeight="1">
      <c r="A4" s="932" t="s">
        <v>377</v>
      </c>
      <c r="B4" s="926" t="s">
        <v>374</v>
      </c>
      <c r="C4" s="926" t="s">
        <v>392</v>
      </c>
      <c r="D4" s="926" t="s">
        <v>372</v>
      </c>
      <c r="E4" s="910" t="s">
        <v>385</v>
      </c>
      <c r="F4" s="910"/>
      <c r="G4" s="910"/>
      <c r="H4" s="910"/>
      <c r="I4" s="910"/>
      <c r="J4" s="910"/>
      <c r="K4" s="910"/>
      <c r="L4" s="887" t="s">
        <v>786</v>
      </c>
      <c r="M4" s="931" t="s">
        <v>432</v>
      </c>
      <c r="N4" s="925" t="s">
        <v>398</v>
      </c>
      <c r="O4" s="923" t="s">
        <v>433</v>
      </c>
      <c r="P4" s="924" t="s">
        <v>680</v>
      </c>
      <c r="Q4" s="925" t="s">
        <v>387</v>
      </c>
      <c r="R4" s="925"/>
      <c r="S4" s="925"/>
      <c r="T4" s="925"/>
    </row>
    <row r="5" spans="1:22" ht="85.5" customHeight="1">
      <c r="A5" s="866"/>
      <c r="B5" s="926"/>
      <c r="C5" s="926"/>
      <c r="D5" s="926"/>
      <c r="E5" s="70" t="s">
        <v>386</v>
      </c>
      <c r="F5" s="70" t="s">
        <v>376</v>
      </c>
      <c r="G5" s="70" t="s">
        <v>375</v>
      </c>
      <c r="H5" s="70" t="s">
        <v>373</v>
      </c>
      <c r="I5" s="71" t="s">
        <v>382</v>
      </c>
      <c r="J5" s="71" t="s">
        <v>480</v>
      </c>
      <c r="K5" s="71" t="s">
        <v>383</v>
      </c>
      <c r="L5" s="887"/>
      <c r="M5" s="931"/>
      <c r="N5" s="925"/>
      <c r="O5" s="923"/>
      <c r="P5" s="924"/>
      <c r="Q5" s="111" t="s">
        <v>388</v>
      </c>
      <c r="R5" s="111" t="s">
        <v>389</v>
      </c>
      <c r="S5" s="111" t="s">
        <v>390</v>
      </c>
      <c r="T5" s="111" t="s">
        <v>391</v>
      </c>
      <c r="U5" s="14"/>
      <c r="V5" s="20"/>
    </row>
    <row r="6" spans="1:22" ht="15" customHeight="1">
      <c r="A6" s="920"/>
      <c r="B6" s="921" t="s">
        <v>435</v>
      </c>
      <c r="C6" s="921"/>
      <c r="D6" s="21">
        <v>2010</v>
      </c>
      <c r="E6" s="23">
        <f>E17+E30+E41+E74+E82+E119+E132</f>
        <v>200.4</v>
      </c>
      <c r="F6" s="23">
        <f aca="true" t="shared" si="0" ref="F6:K6">F17+F30+F41+F74+F82+F119+F132</f>
        <v>0</v>
      </c>
      <c r="G6" s="23">
        <f t="shared" si="0"/>
        <v>0.3</v>
      </c>
      <c r="H6" s="23">
        <f t="shared" si="0"/>
        <v>0</v>
      </c>
      <c r="I6" s="23">
        <f t="shared" si="0"/>
        <v>31</v>
      </c>
      <c r="J6" s="23">
        <f t="shared" si="0"/>
        <v>169.1</v>
      </c>
      <c r="K6" s="23">
        <f t="shared" si="0"/>
        <v>0</v>
      </c>
      <c r="L6" s="922"/>
      <c r="M6" s="922"/>
      <c r="N6" s="79">
        <f>N17+N30+N41+N74+N82+N119+N132</f>
        <v>10</v>
      </c>
      <c r="O6" s="79">
        <f aca="true" t="shared" si="1" ref="O6:O11">O17+O30+O41+O74+O82+O119</f>
        <v>63</v>
      </c>
      <c r="P6" s="79"/>
      <c r="Q6" s="79">
        <f>Q17+Q30+Q41+Q74+Q82+Q119+Q132</f>
        <v>13.552176799999998</v>
      </c>
      <c r="R6" s="79">
        <f>R17+R30+R41+R74+R82+R119+R132</f>
        <v>8</v>
      </c>
      <c r="S6" s="79">
        <f>S17+S30+S41+S74+S82+S119+S132</f>
        <v>3.24652376</v>
      </c>
      <c r="T6" s="79">
        <f>T17+T30+T41+T74+T82+T119+T132</f>
        <v>2.3056530399999997</v>
      </c>
      <c r="U6" s="24"/>
      <c r="V6" s="20"/>
    </row>
    <row r="7" spans="1:22" ht="15">
      <c r="A7" s="920"/>
      <c r="B7" s="921"/>
      <c r="C7" s="921"/>
      <c r="D7" s="21">
        <v>2011</v>
      </c>
      <c r="E7" s="23">
        <f aca="true" t="shared" si="2" ref="E7:K10">E18+E31+E42+E75+E83+E120+E133</f>
        <v>210.8</v>
      </c>
      <c r="F7" s="23">
        <f t="shared" si="2"/>
        <v>0</v>
      </c>
      <c r="G7" s="23">
        <f t="shared" si="2"/>
        <v>0.3</v>
      </c>
      <c r="H7" s="23">
        <f t="shared" si="2"/>
        <v>0.8</v>
      </c>
      <c r="I7" s="23">
        <f t="shared" si="2"/>
        <v>25.5</v>
      </c>
      <c r="J7" s="23">
        <f t="shared" si="2"/>
        <v>184.2</v>
      </c>
      <c r="K7" s="23">
        <f t="shared" si="2"/>
        <v>0</v>
      </c>
      <c r="L7" s="922"/>
      <c r="M7" s="922"/>
      <c r="N7" s="79">
        <f>N18+N31+N42+N75+N83+N120+N133</f>
        <v>10</v>
      </c>
      <c r="O7" s="79">
        <f t="shared" si="1"/>
        <v>155</v>
      </c>
      <c r="P7" s="79"/>
      <c r="Q7" s="79">
        <f aca="true" t="shared" si="3" ref="Q7:T10">Q18+Q31+Q42+Q75+Q83+Q120+Q133</f>
        <v>15.137072599999998</v>
      </c>
      <c r="R7" s="79">
        <f t="shared" si="3"/>
        <v>8.072</v>
      </c>
      <c r="S7" s="79">
        <f t="shared" si="3"/>
        <v>4.30555082</v>
      </c>
      <c r="T7" s="79">
        <f t="shared" si="3"/>
        <v>2.75952178</v>
      </c>
      <c r="U7" s="24"/>
      <c r="V7" s="20"/>
    </row>
    <row r="8" spans="1:22" ht="15">
      <c r="A8" s="920"/>
      <c r="B8" s="921"/>
      <c r="C8" s="921"/>
      <c r="D8" s="21">
        <v>2012</v>
      </c>
      <c r="E8" s="23">
        <f t="shared" si="2"/>
        <v>77.50000000000001</v>
      </c>
      <c r="F8" s="23">
        <f t="shared" si="2"/>
        <v>0</v>
      </c>
      <c r="G8" s="23">
        <f t="shared" si="2"/>
        <v>0.3</v>
      </c>
      <c r="H8" s="23">
        <f t="shared" si="2"/>
        <v>1.7</v>
      </c>
      <c r="I8" s="23">
        <f t="shared" si="2"/>
        <v>25.3</v>
      </c>
      <c r="J8" s="23">
        <f t="shared" si="2"/>
        <v>50.2</v>
      </c>
      <c r="K8" s="23">
        <f t="shared" si="2"/>
        <v>0</v>
      </c>
      <c r="L8" s="922"/>
      <c r="M8" s="922"/>
      <c r="N8" s="79">
        <f>N19+N32+N43+N76+N84+N121+N134</f>
        <v>182.9</v>
      </c>
      <c r="O8" s="79">
        <f t="shared" si="1"/>
        <v>107</v>
      </c>
      <c r="P8" s="79"/>
      <c r="Q8" s="79">
        <f t="shared" si="3"/>
        <v>50.39867259999999</v>
      </c>
      <c r="R8" s="79">
        <f t="shared" si="3"/>
        <v>11.611</v>
      </c>
      <c r="S8" s="79">
        <f t="shared" si="3"/>
        <v>35.84797082</v>
      </c>
      <c r="T8" s="79">
        <f t="shared" si="3"/>
        <v>2.93970178</v>
      </c>
      <c r="U8" s="24"/>
      <c r="V8" s="20"/>
    </row>
    <row r="9" spans="1:22" ht="15">
      <c r="A9" s="920"/>
      <c r="B9" s="921"/>
      <c r="C9" s="921"/>
      <c r="D9" s="21">
        <v>2013</v>
      </c>
      <c r="E9" s="23">
        <f t="shared" si="2"/>
        <v>0</v>
      </c>
      <c r="F9" s="23">
        <f t="shared" si="2"/>
        <v>0</v>
      </c>
      <c r="G9" s="23">
        <f t="shared" si="2"/>
        <v>0</v>
      </c>
      <c r="H9" s="23">
        <f t="shared" si="2"/>
        <v>0</v>
      </c>
      <c r="I9" s="23">
        <f t="shared" si="2"/>
        <v>0</v>
      </c>
      <c r="J9" s="23">
        <f t="shared" si="2"/>
        <v>0</v>
      </c>
      <c r="K9" s="23">
        <f t="shared" si="2"/>
        <v>0</v>
      </c>
      <c r="L9" s="922"/>
      <c r="M9" s="922"/>
      <c r="N9" s="79">
        <f>N20+N33+N44+N77+N85+N122+N135</f>
        <v>316.2</v>
      </c>
      <c r="O9" s="79">
        <f t="shared" si="1"/>
        <v>0</v>
      </c>
      <c r="P9" s="79"/>
      <c r="Q9" s="79">
        <f t="shared" si="3"/>
        <v>76.4976</v>
      </c>
      <c r="R9" s="79">
        <f t="shared" si="3"/>
        <v>14.123999999999999</v>
      </c>
      <c r="S9" s="79">
        <f t="shared" si="3"/>
        <v>59.55631999999999</v>
      </c>
      <c r="T9" s="79">
        <f t="shared" si="3"/>
        <v>2.81728</v>
      </c>
      <c r="U9" s="24"/>
      <c r="V9" s="20"/>
    </row>
    <row r="10" spans="1:22" ht="15">
      <c r="A10" s="920"/>
      <c r="B10" s="921"/>
      <c r="C10" s="921"/>
      <c r="D10" s="21">
        <v>2014</v>
      </c>
      <c r="E10" s="23">
        <f t="shared" si="2"/>
        <v>0</v>
      </c>
      <c r="F10" s="23">
        <f t="shared" si="2"/>
        <v>0</v>
      </c>
      <c r="G10" s="23">
        <f t="shared" si="2"/>
        <v>0</v>
      </c>
      <c r="H10" s="23">
        <f t="shared" si="2"/>
        <v>0</v>
      </c>
      <c r="I10" s="23">
        <f t="shared" si="2"/>
        <v>0</v>
      </c>
      <c r="J10" s="23">
        <f t="shared" si="2"/>
        <v>0</v>
      </c>
      <c r="K10" s="23">
        <f t="shared" si="2"/>
        <v>0</v>
      </c>
      <c r="L10" s="922"/>
      <c r="M10" s="922"/>
      <c r="N10" s="79">
        <f>N21+N34+N45+N78+N86+N123+N136</f>
        <v>316.2</v>
      </c>
      <c r="O10" s="79">
        <f t="shared" si="1"/>
        <v>1</v>
      </c>
      <c r="P10" s="79"/>
      <c r="Q10" s="79">
        <f t="shared" si="3"/>
        <v>79.4976</v>
      </c>
      <c r="R10" s="79">
        <f t="shared" si="3"/>
        <v>18.124</v>
      </c>
      <c r="S10" s="79">
        <f t="shared" si="3"/>
        <v>64.55632</v>
      </c>
      <c r="T10" s="79">
        <f t="shared" si="3"/>
        <v>8.81728</v>
      </c>
      <c r="U10" s="24"/>
      <c r="V10" s="20"/>
    </row>
    <row r="11" spans="1:22" ht="15">
      <c r="A11" s="920"/>
      <c r="B11" s="921"/>
      <c r="C11" s="921"/>
      <c r="D11" s="21" t="s">
        <v>378</v>
      </c>
      <c r="E11" s="23">
        <f>SUM(E6:E10)</f>
        <v>488.70000000000005</v>
      </c>
      <c r="F11" s="23">
        <f aca="true" t="shared" si="4" ref="F11:K11">SUM(F6:F10)</f>
        <v>0</v>
      </c>
      <c r="G11" s="23">
        <f t="shared" si="4"/>
        <v>0.8999999999999999</v>
      </c>
      <c r="H11" s="23">
        <f t="shared" si="4"/>
        <v>2.5</v>
      </c>
      <c r="I11" s="23">
        <f t="shared" si="4"/>
        <v>81.8</v>
      </c>
      <c r="J11" s="23">
        <f t="shared" si="4"/>
        <v>403.49999999999994</v>
      </c>
      <c r="K11" s="23">
        <f t="shared" si="4"/>
        <v>0</v>
      </c>
      <c r="L11" s="922"/>
      <c r="M11" s="922"/>
      <c r="N11" s="79">
        <f>SUM(N6:N10)</f>
        <v>835.3</v>
      </c>
      <c r="O11" s="79">
        <f t="shared" si="1"/>
        <v>326</v>
      </c>
      <c r="P11" s="79"/>
      <c r="Q11" s="79">
        <f>SUM(Q6:Q10)</f>
        <v>235.083122</v>
      </c>
      <c r="R11" s="79">
        <f>SUM(R6:R10)</f>
        <v>59.931</v>
      </c>
      <c r="S11" s="79">
        <f>SUM(S6:S10)</f>
        <v>167.51268539999998</v>
      </c>
      <c r="T11" s="79">
        <f>SUM(T6:T10)</f>
        <v>19.6394366</v>
      </c>
      <c r="U11" s="24"/>
      <c r="V11" s="20"/>
    </row>
    <row r="12" spans="1:22" ht="15.75" customHeight="1">
      <c r="A12" s="915" t="s">
        <v>380</v>
      </c>
      <c r="B12" s="915"/>
      <c r="C12" s="915"/>
      <c r="D12" s="915"/>
      <c r="E12" s="915"/>
      <c r="F12" s="915"/>
      <c r="G12" s="915"/>
      <c r="H12" s="915"/>
      <c r="I12" s="915"/>
      <c r="J12" s="915"/>
      <c r="K12" s="915"/>
      <c r="L12" s="915"/>
      <c r="M12" s="915"/>
      <c r="N12" s="915"/>
      <c r="O12" s="915"/>
      <c r="P12" s="915"/>
      <c r="Q12" s="915"/>
      <c r="R12" s="915"/>
      <c r="S12" s="915"/>
      <c r="T12" s="915"/>
      <c r="U12" s="20"/>
      <c r="V12" s="20"/>
    </row>
    <row r="13" spans="1:22" ht="15.75" customHeight="1" hidden="1">
      <c r="A13" s="72"/>
      <c r="B13" s="72"/>
      <c r="C13" s="72"/>
      <c r="D13" s="72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80"/>
      <c r="P13" s="80"/>
      <c r="Q13" s="73"/>
      <c r="R13" s="73"/>
      <c r="S13" s="73"/>
      <c r="T13" s="73"/>
      <c r="U13" s="20"/>
      <c r="V13" s="20"/>
    </row>
    <row r="14" spans="1:22" ht="15" customHeight="1" hidden="1">
      <c r="A14" s="872" t="s">
        <v>436</v>
      </c>
      <c r="B14" s="872"/>
      <c r="C14" s="872"/>
      <c r="D14" s="872"/>
      <c r="E14" s="872"/>
      <c r="F14" s="872"/>
      <c r="G14" s="872"/>
      <c r="H14" s="872"/>
      <c r="I14" s="872"/>
      <c r="J14" s="872"/>
      <c r="K14" s="872"/>
      <c r="L14" s="872"/>
      <c r="M14" s="872"/>
      <c r="N14" s="872"/>
      <c r="O14" s="872"/>
      <c r="P14" s="872"/>
      <c r="Q14" s="872"/>
      <c r="R14" s="872"/>
      <c r="S14" s="872"/>
      <c r="T14" s="872"/>
      <c r="U14" s="20"/>
      <c r="V14" s="20"/>
    </row>
    <row r="15" spans="1:22" s="11" customFormat="1" ht="15" customHeight="1" hidden="1">
      <c r="A15" s="384"/>
      <c r="B15" s="384"/>
      <c r="C15" s="384"/>
      <c r="D15" s="384"/>
      <c r="E15" s="384"/>
      <c r="F15" s="384"/>
      <c r="G15" s="384"/>
      <c r="H15" s="384"/>
      <c r="I15" s="384"/>
      <c r="J15" s="384"/>
      <c r="K15" s="384"/>
      <c r="L15" s="384"/>
      <c r="M15" s="384"/>
      <c r="N15" s="384"/>
      <c r="O15" s="384"/>
      <c r="P15" s="384"/>
      <c r="Q15" s="384"/>
      <c r="R15" s="384"/>
      <c r="S15" s="384"/>
      <c r="T15" s="384"/>
      <c r="U15" s="25"/>
      <c r="V15" s="25"/>
    </row>
    <row r="16" spans="1:22" s="94" customFormat="1" ht="18" customHeight="1">
      <c r="A16" s="872" t="s">
        <v>175</v>
      </c>
      <c r="B16" s="872"/>
      <c r="C16" s="872"/>
      <c r="D16" s="872"/>
      <c r="E16" s="872"/>
      <c r="F16" s="872"/>
      <c r="G16" s="872"/>
      <c r="H16" s="872"/>
      <c r="I16" s="872"/>
      <c r="J16" s="872"/>
      <c r="K16" s="872"/>
      <c r="L16" s="872"/>
      <c r="M16" s="872"/>
      <c r="N16" s="872"/>
      <c r="O16" s="872"/>
      <c r="P16" s="872"/>
      <c r="Q16" s="872"/>
      <c r="R16" s="872"/>
      <c r="S16" s="872"/>
      <c r="T16" s="872"/>
      <c r="U16" s="93"/>
      <c r="V16" s="93"/>
    </row>
    <row r="17" spans="1:22" ht="22.5" customHeight="1">
      <c r="A17" s="911"/>
      <c r="B17" s="895" t="s">
        <v>646</v>
      </c>
      <c r="C17" s="895"/>
      <c r="D17" s="42">
        <v>2010</v>
      </c>
      <c r="E17" s="43">
        <f>E24</f>
        <v>166.1</v>
      </c>
      <c r="F17" s="43">
        <f aca="true" t="shared" si="5" ref="F17:K17">F24</f>
        <v>0</v>
      </c>
      <c r="G17" s="43">
        <f t="shared" si="5"/>
        <v>0</v>
      </c>
      <c r="H17" s="43">
        <f t="shared" si="5"/>
        <v>0</v>
      </c>
      <c r="I17" s="43">
        <f t="shared" si="5"/>
        <v>0</v>
      </c>
      <c r="J17" s="43">
        <f t="shared" si="5"/>
        <v>166.1</v>
      </c>
      <c r="K17" s="43">
        <f t="shared" si="5"/>
        <v>0</v>
      </c>
      <c r="L17" s="912"/>
      <c r="M17" s="43"/>
      <c r="N17" s="43">
        <f>N24</f>
        <v>0</v>
      </c>
      <c r="O17" s="43">
        <f aca="true" t="shared" si="6" ref="O17:T17">O24</f>
        <v>20</v>
      </c>
      <c r="P17" s="43">
        <f t="shared" si="6"/>
        <v>20</v>
      </c>
      <c r="Q17" s="43">
        <f t="shared" si="6"/>
        <v>0.546</v>
      </c>
      <c r="R17" s="43">
        <f t="shared" si="6"/>
        <v>0</v>
      </c>
      <c r="S17" s="43">
        <f t="shared" si="6"/>
        <v>0.3822</v>
      </c>
      <c r="T17" s="43">
        <f t="shared" si="6"/>
        <v>0.1638</v>
      </c>
      <c r="U17" s="20"/>
      <c r="V17" s="20"/>
    </row>
    <row r="18" spans="1:22" ht="24.75" customHeight="1">
      <c r="A18" s="911"/>
      <c r="B18" s="895"/>
      <c r="C18" s="895"/>
      <c r="D18" s="42">
        <v>2011</v>
      </c>
      <c r="E18" s="43">
        <f aca="true" t="shared" si="7" ref="E18:K21">E25</f>
        <v>181.2</v>
      </c>
      <c r="F18" s="43">
        <f t="shared" si="7"/>
        <v>0</v>
      </c>
      <c r="G18" s="43">
        <f t="shared" si="7"/>
        <v>0</v>
      </c>
      <c r="H18" s="43">
        <f t="shared" si="7"/>
        <v>0</v>
      </c>
      <c r="I18" s="43">
        <f t="shared" si="7"/>
        <v>0</v>
      </c>
      <c r="J18" s="43">
        <f t="shared" si="7"/>
        <v>181.2</v>
      </c>
      <c r="K18" s="43">
        <f t="shared" si="7"/>
        <v>0</v>
      </c>
      <c r="L18" s="913"/>
      <c r="M18" s="43"/>
      <c r="N18" s="43">
        <f aca="true" t="shared" si="8" ref="N18:T21">N25</f>
        <v>0</v>
      </c>
      <c r="O18" s="43">
        <f t="shared" si="8"/>
        <v>70</v>
      </c>
      <c r="P18" s="43">
        <f t="shared" si="8"/>
        <v>90</v>
      </c>
      <c r="Q18" s="43">
        <f t="shared" si="8"/>
        <v>2.457</v>
      </c>
      <c r="R18" s="43">
        <f t="shared" si="8"/>
        <v>0</v>
      </c>
      <c r="S18" s="43">
        <f t="shared" si="8"/>
        <v>1.7198999999999998</v>
      </c>
      <c r="T18" s="43">
        <f t="shared" si="8"/>
        <v>0.7371</v>
      </c>
      <c r="U18" s="20"/>
      <c r="V18" s="20"/>
    </row>
    <row r="19" spans="1:22" ht="20.25" customHeight="1">
      <c r="A19" s="911"/>
      <c r="B19" s="895"/>
      <c r="C19" s="895"/>
      <c r="D19" s="42">
        <v>2012</v>
      </c>
      <c r="E19" s="43">
        <f t="shared" si="7"/>
        <v>47.2</v>
      </c>
      <c r="F19" s="43">
        <f t="shared" si="7"/>
        <v>0</v>
      </c>
      <c r="G19" s="43">
        <f t="shared" si="7"/>
        <v>0</v>
      </c>
      <c r="H19" s="43">
        <f t="shared" si="7"/>
        <v>0</v>
      </c>
      <c r="I19" s="43">
        <f t="shared" si="7"/>
        <v>0</v>
      </c>
      <c r="J19" s="43">
        <f t="shared" si="7"/>
        <v>47.2</v>
      </c>
      <c r="K19" s="43">
        <f t="shared" si="7"/>
        <v>0</v>
      </c>
      <c r="L19" s="913"/>
      <c r="M19" s="43"/>
      <c r="N19" s="43">
        <f t="shared" si="8"/>
        <v>172.9</v>
      </c>
      <c r="O19" s="43">
        <f t="shared" si="8"/>
        <v>22</v>
      </c>
      <c r="P19" s="43">
        <f t="shared" si="8"/>
        <v>112</v>
      </c>
      <c r="Q19" s="43">
        <f t="shared" si="8"/>
        <v>37.6376</v>
      </c>
      <c r="R19" s="43">
        <f t="shared" si="8"/>
        <v>3.458</v>
      </c>
      <c r="S19" s="43">
        <f t="shared" si="8"/>
        <v>33.26232</v>
      </c>
      <c r="T19" s="43">
        <f t="shared" si="8"/>
        <v>0.9172799999999999</v>
      </c>
      <c r="U19" s="20"/>
      <c r="V19" s="20"/>
    </row>
    <row r="20" spans="1:22" ht="21.75" customHeight="1">
      <c r="A20" s="911"/>
      <c r="B20" s="895"/>
      <c r="C20" s="895"/>
      <c r="D20" s="42">
        <v>2013</v>
      </c>
      <c r="E20" s="43">
        <f t="shared" si="7"/>
        <v>0</v>
      </c>
      <c r="F20" s="43">
        <f t="shared" si="7"/>
        <v>0</v>
      </c>
      <c r="G20" s="43">
        <f t="shared" si="7"/>
        <v>0</v>
      </c>
      <c r="H20" s="43">
        <f t="shared" si="7"/>
        <v>0</v>
      </c>
      <c r="I20" s="43">
        <f t="shared" si="7"/>
        <v>0</v>
      </c>
      <c r="J20" s="43">
        <f t="shared" si="7"/>
        <v>0</v>
      </c>
      <c r="K20" s="43">
        <f t="shared" si="7"/>
        <v>0</v>
      </c>
      <c r="L20" s="913"/>
      <c r="M20" s="43"/>
      <c r="N20" s="43">
        <f t="shared" si="8"/>
        <v>306.2</v>
      </c>
      <c r="O20" s="43">
        <f t="shared" si="8"/>
        <v>0</v>
      </c>
      <c r="P20" s="43">
        <f t="shared" si="8"/>
        <v>112</v>
      </c>
      <c r="Q20" s="43">
        <f t="shared" si="8"/>
        <v>64.2976</v>
      </c>
      <c r="R20" s="43">
        <f t="shared" si="8"/>
        <v>6.124</v>
      </c>
      <c r="S20" s="43">
        <f t="shared" si="8"/>
        <v>57.256319999999995</v>
      </c>
      <c r="T20" s="43">
        <f t="shared" si="8"/>
        <v>0.9172799999999999</v>
      </c>
      <c r="U20" s="20"/>
      <c r="V20" s="20"/>
    </row>
    <row r="21" spans="1:22" ht="23.25" customHeight="1">
      <c r="A21" s="911"/>
      <c r="B21" s="895"/>
      <c r="C21" s="895"/>
      <c r="D21" s="42">
        <v>2014</v>
      </c>
      <c r="E21" s="43">
        <f t="shared" si="7"/>
        <v>0</v>
      </c>
      <c r="F21" s="43">
        <f t="shared" si="7"/>
        <v>0</v>
      </c>
      <c r="G21" s="43">
        <f t="shared" si="7"/>
        <v>0</v>
      </c>
      <c r="H21" s="43">
        <f t="shared" si="7"/>
        <v>0</v>
      </c>
      <c r="I21" s="43">
        <f t="shared" si="7"/>
        <v>0</v>
      </c>
      <c r="J21" s="43">
        <f t="shared" si="7"/>
        <v>0</v>
      </c>
      <c r="K21" s="43">
        <f t="shared" si="7"/>
        <v>0</v>
      </c>
      <c r="L21" s="913"/>
      <c r="M21" s="43"/>
      <c r="N21" s="43">
        <f t="shared" si="8"/>
        <v>306.2</v>
      </c>
      <c r="O21" s="43">
        <f t="shared" si="8"/>
        <v>0</v>
      </c>
      <c r="P21" s="43">
        <f t="shared" si="8"/>
        <v>112</v>
      </c>
      <c r="Q21" s="43">
        <f t="shared" si="8"/>
        <v>64.2976</v>
      </c>
      <c r="R21" s="43">
        <f t="shared" si="8"/>
        <v>6.124</v>
      </c>
      <c r="S21" s="43">
        <f t="shared" si="8"/>
        <v>57.256319999999995</v>
      </c>
      <c r="T21" s="43">
        <f t="shared" si="8"/>
        <v>0.9172799999999999</v>
      </c>
      <c r="U21" s="20"/>
      <c r="V21" s="20"/>
    </row>
    <row r="22" spans="1:22" ht="20.25" customHeight="1">
      <c r="A22" s="911"/>
      <c r="B22" s="895"/>
      <c r="C22" s="895"/>
      <c r="D22" s="42" t="s">
        <v>378</v>
      </c>
      <c r="E22" s="40">
        <f>SUM(E17:E21)</f>
        <v>394.49999999999994</v>
      </c>
      <c r="F22" s="40">
        <f aca="true" t="shared" si="9" ref="F22:K22">SUM(F17:F21)</f>
        <v>0</v>
      </c>
      <c r="G22" s="40">
        <f t="shared" si="9"/>
        <v>0</v>
      </c>
      <c r="H22" s="40">
        <f t="shared" si="9"/>
        <v>0</v>
      </c>
      <c r="I22" s="40">
        <f t="shared" si="9"/>
        <v>0</v>
      </c>
      <c r="J22" s="40">
        <f t="shared" si="9"/>
        <v>394.49999999999994</v>
      </c>
      <c r="K22" s="40">
        <f t="shared" si="9"/>
        <v>0</v>
      </c>
      <c r="L22" s="914"/>
      <c r="M22" s="40"/>
      <c r="N22" s="40">
        <f aca="true" t="shared" si="10" ref="N22:T22">SUM(N17:N21)</f>
        <v>785.3</v>
      </c>
      <c r="O22" s="40">
        <f t="shared" si="10"/>
        <v>112</v>
      </c>
      <c r="P22" s="40">
        <f t="shared" si="10"/>
        <v>446</v>
      </c>
      <c r="Q22" s="40">
        <f t="shared" si="10"/>
        <v>169.23579999999998</v>
      </c>
      <c r="R22" s="40">
        <f t="shared" si="10"/>
        <v>15.706</v>
      </c>
      <c r="S22" s="40">
        <f t="shared" si="10"/>
        <v>149.87706</v>
      </c>
      <c r="T22" s="40">
        <f t="shared" si="10"/>
        <v>3.6527399999999997</v>
      </c>
      <c r="U22" s="20"/>
      <c r="V22" s="20"/>
    </row>
    <row r="23" spans="1:22" ht="15" customHeight="1">
      <c r="A23" s="893">
        <v>1</v>
      </c>
      <c r="B23" s="905" t="s">
        <v>476</v>
      </c>
      <c r="C23" s="893" t="s">
        <v>479</v>
      </c>
      <c r="D23" s="74" t="s">
        <v>570</v>
      </c>
      <c r="E23" s="35">
        <f>SUM(E24:E27)</f>
        <v>394.49999999999994</v>
      </c>
      <c r="F23" s="35"/>
      <c r="G23" s="35"/>
      <c r="H23" s="35"/>
      <c r="I23" s="35"/>
      <c r="J23" s="35">
        <f>SUM(J24:J27)</f>
        <v>394.49999999999994</v>
      </c>
      <c r="K23" s="35"/>
      <c r="L23" s="903" t="s">
        <v>792</v>
      </c>
      <c r="M23" s="938" t="s">
        <v>154</v>
      </c>
      <c r="N23" s="69">
        <f>SUM(N24:N27)</f>
        <v>479.1</v>
      </c>
      <c r="O23" s="92">
        <f>SUM(O24:O27)</f>
        <v>112</v>
      </c>
      <c r="P23" s="92"/>
      <c r="Q23" s="69">
        <f aca="true" t="shared" si="11" ref="Q23:Q28">SUM(R23:T23)</f>
        <v>169.23579999999998</v>
      </c>
      <c r="R23" s="69">
        <f>SUM(R24:R28)</f>
        <v>15.706</v>
      </c>
      <c r="S23" s="69">
        <f>SUM(S24:S28)</f>
        <v>149.87706</v>
      </c>
      <c r="T23" s="69">
        <f>SUM(T24:T28)</f>
        <v>3.6527399999999997</v>
      </c>
      <c r="U23" s="20"/>
      <c r="V23" s="20"/>
    </row>
    <row r="24" spans="1:22" ht="15">
      <c r="A24" s="893"/>
      <c r="B24" s="905"/>
      <c r="C24" s="893"/>
      <c r="D24" s="27">
        <v>2010</v>
      </c>
      <c r="E24" s="16">
        <f>SUM(F24:K24)</f>
        <v>166.1</v>
      </c>
      <c r="F24" s="26"/>
      <c r="G24" s="26"/>
      <c r="H24" s="26"/>
      <c r="I24" s="26"/>
      <c r="J24" s="26">
        <v>166.1</v>
      </c>
      <c r="K24" s="16"/>
      <c r="L24" s="903"/>
      <c r="M24" s="938"/>
      <c r="N24" s="26">
        <v>0</v>
      </c>
      <c r="O24" s="29">
        <v>20</v>
      </c>
      <c r="P24" s="29">
        <f>O24</f>
        <v>20</v>
      </c>
      <c r="Q24" s="45">
        <f t="shared" si="11"/>
        <v>0.546</v>
      </c>
      <c r="R24" s="26">
        <f>U24*0.18+N24*0.02</f>
        <v>0</v>
      </c>
      <c r="S24" s="26">
        <f>N24*0.18+P24*17.5*12/1000*0.13*0.7</f>
        <v>0.3822</v>
      </c>
      <c r="T24" s="26">
        <f>P24*17.5*12/1000*0.13*0.3</f>
        <v>0.1638</v>
      </c>
      <c r="U24" s="20"/>
      <c r="V24" s="20"/>
    </row>
    <row r="25" spans="1:22" ht="15">
      <c r="A25" s="893"/>
      <c r="B25" s="905"/>
      <c r="C25" s="893"/>
      <c r="D25" s="27">
        <v>2011</v>
      </c>
      <c r="E25" s="16">
        <f>SUM(F25:K25)</f>
        <v>181.2</v>
      </c>
      <c r="F25" s="26"/>
      <c r="G25" s="26"/>
      <c r="H25" s="26"/>
      <c r="I25" s="26"/>
      <c r="J25" s="26">
        <v>181.2</v>
      </c>
      <c r="K25" s="16"/>
      <c r="L25" s="903"/>
      <c r="M25" s="938"/>
      <c r="N25" s="26">
        <v>0</v>
      </c>
      <c r="O25" s="29">
        <v>70</v>
      </c>
      <c r="P25" s="29">
        <f>P24+O25</f>
        <v>90</v>
      </c>
      <c r="Q25" s="45">
        <f t="shared" si="11"/>
        <v>2.457</v>
      </c>
      <c r="R25" s="26">
        <f>U25*0.18+N25*0.02</f>
        <v>0</v>
      </c>
      <c r="S25" s="26">
        <f>N25*0.18+P25*17.5*12/1000*0.13*0.7</f>
        <v>1.7198999999999998</v>
      </c>
      <c r="T25" s="26">
        <f>P25*17.5*12/1000*0.13*0.3</f>
        <v>0.7371</v>
      </c>
      <c r="U25" s="20"/>
      <c r="V25" s="20"/>
    </row>
    <row r="26" spans="1:22" ht="16.5" customHeight="1">
      <c r="A26" s="893"/>
      <c r="B26" s="905"/>
      <c r="C26" s="893"/>
      <c r="D26" s="27">
        <v>2012</v>
      </c>
      <c r="E26" s="16">
        <f>SUM(F26:K26)</f>
        <v>47.2</v>
      </c>
      <c r="F26" s="26"/>
      <c r="G26" s="26"/>
      <c r="H26" s="26"/>
      <c r="I26" s="26"/>
      <c r="J26" s="26">
        <v>47.2</v>
      </c>
      <c r="K26" s="16"/>
      <c r="L26" s="903"/>
      <c r="M26" s="938"/>
      <c r="N26" s="26">
        <v>172.9</v>
      </c>
      <c r="O26" s="29">
        <v>22</v>
      </c>
      <c r="P26" s="29">
        <f>P25+O26</f>
        <v>112</v>
      </c>
      <c r="Q26" s="45">
        <f t="shared" si="11"/>
        <v>37.6376</v>
      </c>
      <c r="R26" s="26">
        <f>U26*0.18+N26*0.02</f>
        <v>3.458</v>
      </c>
      <c r="S26" s="26">
        <f>N26*0.18+P26*17.5*12/1000*0.13*0.7</f>
        <v>33.26232</v>
      </c>
      <c r="T26" s="26">
        <f>P26*17.5*12/1000*0.13*0.3</f>
        <v>0.9172799999999999</v>
      </c>
      <c r="U26" s="20"/>
      <c r="V26" s="20"/>
    </row>
    <row r="27" spans="1:22" ht="15">
      <c r="A27" s="893"/>
      <c r="B27" s="905"/>
      <c r="C27" s="893"/>
      <c r="D27" s="27">
        <v>2013</v>
      </c>
      <c r="E27" s="16"/>
      <c r="F27" s="26"/>
      <c r="G27" s="26"/>
      <c r="H27" s="26"/>
      <c r="I27" s="26"/>
      <c r="J27" s="26"/>
      <c r="K27" s="16"/>
      <c r="L27" s="903"/>
      <c r="M27" s="938"/>
      <c r="N27" s="26">
        <v>306.2</v>
      </c>
      <c r="O27" s="29">
        <v>0</v>
      </c>
      <c r="P27" s="29">
        <f>P26+O27</f>
        <v>112</v>
      </c>
      <c r="Q27" s="45">
        <f t="shared" si="11"/>
        <v>64.2976</v>
      </c>
      <c r="R27" s="26">
        <f>U27*0.18+N27*0.02</f>
        <v>6.124</v>
      </c>
      <c r="S27" s="26">
        <f>N27*0.18+P27*17.5*12/1000*0.13*0.7</f>
        <v>57.256319999999995</v>
      </c>
      <c r="T27" s="26">
        <f>P27*17.5*12/1000*0.13*0.3</f>
        <v>0.9172799999999999</v>
      </c>
      <c r="U27" s="20"/>
      <c r="V27" s="20"/>
    </row>
    <row r="28" spans="1:22" ht="15">
      <c r="A28" s="893"/>
      <c r="B28" s="905"/>
      <c r="C28" s="893"/>
      <c r="D28" s="27">
        <v>2014</v>
      </c>
      <c r="E28" s="107"/>
      <c r="F28" s="107"/>
      <c r="G28" s="107"/>
      <c r="H28" s="107"/>
      <c r="I28" s="107"/>
      <c r="J28" s="107"/>
      <c r="K28" s="107"/>
      <c r="L28" s="903"/>
      <c r="M28" s="938"/>
      <c r="N28" s="26">
        <v>306.2</v>
      </c>
      <c r="O28" s="29">
        <v>0</v>
      </c>
      <c r="P28" s="29">
        <f>P27+O28</f>
        <v>112</v>
      </c>
      <c r="Q28" s="45">
        <f t="shared" si="11"/>
        <v>64.2976</v>
      </c>
      <c r="R28" s="26">
        <f>U28*0.18+N28*0.02</f>
        <v>6.124</v>
      </c>
      <c r="S28" s="26">
        <f>N28*0.18+P28*17.5*12/1000*0.13*0.7</f>
        <v>57.256319999999995</v>
      </c>
      <c r="T28" s="26">
        <f>P28*17.5*12/1000*0.13*0.3</f>
        <v>0.9172799999999999</v>
      </c>
      <c r="U28" s="20"/>
      <c r="V28" s="20"/>
    </row>
    <row r="29" spans="1:22" ht="12.75" customHeight="1">
      <c r="A29" s="894" t="s">
        <v>176</v>
      </c>
      <c r="B29" s="894"/>
      <c r="C29" s="894"/>
      <c r="D29" s="894"/>
      <c r="E29" s="894"/>
      <c r="F29" s="894"/>
      <c r="G29" s="894"/>
      <c r="H29" s="894"/>
      <c r="I29" s="894"/>
      <c r="J29" s="894"/>
      <c r="K29" s="894"/>
      <c r="L29" s="894"/>
      <c r="M29" s="894"/>
      <c r="N29" s="894"/>
      <c r="O29" s="894"/>
      <c r="P29" s="894"/>
      <c r="Q29" s="894"/>
      <c r="R29" s="894"/>
      <c r="S29" s="894"/>
      <c r="T29" s="894"/>
      <c r="U29" s="20"/>
      <c r="V29" s="20"/>
    </row>
    <row r="30" spans="1:22" ht="15" customHeight="1">
      <c r="A30" s="902"/>
      <c r="B30" s="895" t="s">
        <v>646</v>
      </c>
      <c r="C30" s="895"/>
      <c r="D30" s="41">
        <v>2010</v>
      </c>
      <c r="E30" s="52">
        <f>E37</f>
        <v>0.8</v>
      </c>
      <c r="F30" s="52">
        <f aca="true" t="shared" si="12" ref="F30:K30">F37</f>
        <v>0</v>
      </c>
      <c r="G30" s="52">
        <f t="shared" si="12"/>
        <v>0.3</v>
      </c>
      <c r="H30" s="52">
        <f t="shared" si="12"/>
        <v>0</v>
      </c>
      <c r="I30" s="52">
        <f t="shared" si="12"/>
        <v>0.5</v>
      </c>
      <c r="J30" s="52">
        <f t="shared" si="12"/>
        <v>0</v>
      </c>
      <c r="K30" s="52">
        <f t="shared" si="12"/>
        <v>0</v>
      </c>
      <c r="L30" s="875"/>
      <c r="M30" s="875"/>
      <c r="N30" s="52">
        <f>N37</f>
        <v>0</v>
      </c>
      <c r="O30" s="52">
        <f aca="true" t="shared" si="13" ref="O30:T30">O37</f>
        <v>20</v>
      </c>
      <c r="P30" s="52">
        <f t="shared" si="13"/>
        <v>0</v>
      </c>
      <c r="Q30" s="52">
        <f t="shared" si="13"/>
        <v>0.5440968</v>
      </c>
      <c r="R30" s="52">
        <f t="shared" si="13"/>
        <v>0</v>
      </c>
      <c r="S30" s="52">
        <f t="shared" si="13"/>
        <v>0.38086776</v>
      </c>
      <c r="T30" s="52">
        <f t="shared" si="13"/>
        <v>0.16322904000000002</v>
      </c>
      <c r="U30" s="20"/>
      <c r="V30" s="20"/>
    </row>
    <row r="31" spans="1:22" ht="15">
      <c r="A31" s="902"/>
      <c r="B31" s="895"/>
      <c r="C31" s="895"/>
      <c r="D31" s="41">
        <v>2011</v>
      </c>
      <c r="E31" s="52">
        <f aca="true" t="shared" si="14" ref="E31:K33">E38</f>
        <v>0.8</v>
      </c>
      <c r="F31" s="52">
        <f t="shared" si="14"/>
        <v>0</v>
      </c>
      <c r="G31" s="52">
        <f t="shared" si="14"/>
        <v>0.3</v>
      </c>
      <c r="H31" s="52">
        <f t="shared" si="14"/>
        <v>0</v>
      </c>
      <c r="I31" s="52">
        <f t="shared" si="14"/>
        <v>0.5</v>
      </c>
      <c r="J31" s="52">
        <f t="shared" si="14"/>
        <v>0</v>
      </c>
      <c r="K31" s="52">
        <f t="shared" si="14"/>
        <v>0</v>
      </c>
      <c r="L31" s="875"/>
      <c r="M31" s="875"/>
      <c r="N31" s="52">
        <f aca="true" t="shared" si="15" ref="N31:T33">N38</f>
        <v>0</v>
      </c>
      <c r="O31" s="52">
        <f t="shared" si="15"/>
        <v>15</v>
      </c>
      <c r="P31" s="52">
        <f t="shared" si="15"/>
        <v>0</v>
      </c>
      <c r="Q31" s="52">
        <f t="shared" si="15"/>
        <v>0.40807259999999995</v>
      </c>
      <c r="R31" s="52">
        <f t="shared" si="15"/>
        <v>0</v>
      </c>
      <c r="S31" s="52">
        <f t="shared" si="15"/>
        <v>0.28565081999999997</v>
      </c>
      <c r="T31" s="52">
        <f t="shared" si="15"/>
        <v>0.12242178</v>
      </c>
      <c r="U31" s="20"/>
      <c r="V31" s="20"/>
    </row>
    <row r="32" spans="1:22" ht="15">
      <c r="A32" s="902"/>
      <c r="B32" s="895"/>
      <c r="C32" s="895"/>
      <c r="D32" s="42">
        <v>2012</v>
      </c>
      <c r="E32" s="52">
        <f t="shared" si="14"/>
        <v>0.6</v>
      </c>
      <c r="F32" s="52">
        <f t="shared" si="14"/>
        <v>0</v>
      </c>
      <c r="G32" s="52">
        <f t="shared" si="14"/>
        <v>0.3</v>
      </c>
      <c r="H32" s="52">
        <f t="shared" si="14"/>
        <v>0</v>
      </c>
      <c r="I32" s="52">
        <f t="shared" si="14"/>
        <v>0.3</v>
      </c>
      <c r="J32" s="52">
        <f t="shared" si="14"/>
        <v>0</v>
      </c>
      <c r="K32" s="52">
        <f t="shared" si="14"/>
        <v>0</v>
      </c>
      <c r="L32" s="875"/>
      <c r="M32" s="875"/>
      <c r="N32" s="52">
        <f t="shared" si="15"/>
        <v>0</v>
      </c>
      <c r="O32" s="52">
        <f t="shared" si="15"/>
        <v>15</v>
      </c>
      <c r="P32" s="52">
        <f t="shared" si="15"/>
        <v>0</v>
      </c>
      <c r="Q32" s="52">
        <f t="shared" si="15"/>
        <v>0.40807259999999995</v>
      </c>
      <c r="R32" s="52">
        <f t="shared" si="15"/>
        <v>0</v>
      </c>
      <c r="S32" s="52">
        <f t="shared" si="15"/>
        <v>0.28565081999999997</v>
      </c>
      <c r="T32" s="52">
        <f t="shared" si="15"/>
        <v>0.12242178</v>
      </c>
      <c r="U32" s="20"/>
      <c r="V32" s="20"/>
    </row>
    <row r="33" spans="1:22" ht="15">
      <c r="A33" s="902"/>
      <c r="B33" s="895"/>
      <c r="C33" s="895"/>
      <c r="D33" s="42">
        <v>2013</v>
      </c>
      <c r="E33" s="52">
        <f t="shared" si="14"/>
        <v>0</v>
      </c>
      <c r="F33" s="52">
        <f t="shared" si="14"/>
        <v>0</v>
      </c>
      <c r="G33" s="52">
        <f t="shared" si="14"/>
        <v>0</v>
      </c>
      <c r="H33" s="52">
        <f t="shared" si="14"/>
        <v>0</v>
      </c>
      <c r="I33" s="52">
        <f t="shared" si="14"/>
        <v>0</v>
      </c>
      <c r="J33" s="52">
        <f t="shared" si="14"/>
        <v>0</v>
      </c>
      <c r="K33" s="52">
        <f t="shared" si="14"/>
        <v>0</v>
      </c>
      <c r="L33" s="875"/>
      <c r="M33" s="875"/>
      <c r="N33" s="52">
        <f t="shared" si="15"/>
        <v>0</v>
      </c>
      <c r="O33" s="52">
        <f t="shared" si="15"/>
        <v>0</v>
      </c>
      <c r="P33" s="52">
        <f t="shared" si="15"/>
        <v>0</v>
      </c>
      <c r="Q33" s="52">
        <f t="shared" si="15"/>
        <v>0</v>
      </c>
      <c r="R33" s="52">
        <f t="shared" si="15"/>
        <v>0</v>
      </c>
      <c r="S33" s="52">
        <f t="shared" si="15"/>
        <v>0</v>
      </c>
      <c r="T33" s="52">
        <f t="shared" si="15"/>
        <v>0</v>
      </c>
      <c r="U33" s="20"/>
      <c r="V33" s="20"/>
    </row>
    <row r="34" spans="1:22" ht="15">
      <c r="A34" s="902"/>
      <c r="B34" s="895"/>
      <c r="C34" s="895"/>
      <c r="D34" s="42">
        <v>2014</v>
      </c>
      <c r="E34" s="52">
        <v>0</v>
      </c>
      <c r="F34" s="52">
        <v>0</v>
      </c>
      <c r="G34" s="52">
        <v>0</v>
      </c>
      <c r="H34" s="52">
        <v>0</v>
      </c>
      <c r="I34" s="52">
        <v>0</v>
      </c>
      <c r="J34" s="52">
        <v>0</v>
      </c>
      <c r="K34" s="52">
        <v>0</v>
      </c>
      <c r="L34" s="875"/>
      <c r="M34" s="875"/>
      <c r="N34" s="52">
        <v>0</v>
      </c>
      <c r="O34" s="52">
        <v>1</v>
      </c>
      <c r="P34" s="52">
        <v>2</v>
      </c>
      <c r="Q34" s="52">
        <v>3</v>
      </c>
      <c r="R34" s="52">
        <v>4</v>
      </c>
      <c r="S34" s="52">
        <v>5</v>
      </c>
      <c r="T34" s="52">
        <v>6</v>
      </c>
      <c r="U34" s="20"/>
      <c r="V34" s="20"/>
    </row>
    <row r="35" spans="1:22" ht="15">
      <c r="A35" s="902"/>
      <c r="B35" s="895"/>
      <c r="C35" s="895"/>
      <c r="D35" s="41" t="s">
        <v>378</v>
      </c>
      <c r="E35" s="52">
        <f>SUM(E30:E34)</f>
        <v>2.2</v>
      </c>
      <c r="F35" s="52">
        <f aca="true" t="shared" si="16" ref="F35:K35">SUM(F30:F34)</f>
        <v>0</v>
      </c>
      <c r="G35" s="52">
        <f t="shared" si="16"/>
        <v>0.8999999999999999</v>
      </c>
      <c r="H35" s="52">
        <f t="shared" si="16"/>
        <v>0</v>
      </c>
      <c r="I35" s="52">
        <f t="shared" si="16"/>
        <v>1.3</v>
      </c>
      <c r="J35" s="52">
        <f t="shared" si="16"/>
        <v>0</v>
      </c>
      <c r="K35" s="52">
        <f t="shared" si="16"/>
        <v>0</v>
      </c>
      <c r="L35" s="875"/>
      <c r="M35" s="875"/>
      <c r="N35" s="52">
        <f aca="true" t="shared" si="17" ref="N35:T35">SUM(N30:N34)</f>
        <v>0</v>
      </c>
      <c r="O35" s="82">
        <f t="shared" si="17"/>
        <v>51</v>
      </c>
      <c r="P35" s="52">
        <f t="shared" si="17"/>
        <v>2</v>
      </c>
      <c r="Q35" s="52">
        <f t="shared" si="17"/>
        <v>4.3602419999999995</v>
      </c>
      <c r="R35" s="52">
        <f t="shared" si="17"/>
        <v>4</v>
      </c>
      <c r="S35" s="52">
        <f t="shared" si="17"/>
        <v>5.9521694</v>
      </c>
      <c r="T35" s="52">
        <f t="shared" si="17"/>
        <v>6.4080726</v>
      </c>
      <c r="U35" s="20"/>
      <c r="V35" s="20"/>
    </row>
    <row r="36" spans="1:22" ht="15.75" customHeight="1">
      <c r="A36" s="897">
        <v>2</v>
      </c>
      <c r="B36" s="882" t="s">
        <v>444</v>
      </c>
      <c r="C36" s="893"/>
      <c r="D36" s="76" t="s">
        <v>572</v>
      </c>
      <c r="E36" s="57">
        <f>SUM(E37:E39)</f>
        <v>2.2</v>
      </c>
      <c r="F36" s="57">
        <f aca="true" t="shared" si="18" ref="F36:K36">SUM(F37:F39)</f>
        <v>0</v>
      </c>
      <c r="G36" s="57">
        <f t="shared" si="18"/>
        <v>0.8999999999999999</v>
      </c>
      <c r="H36" s="57">
        <f t="shared" si="18"/>
        <v>0</v>
      </c>
      <c r="I36" s="57">
        <f t="shared" si="18"/>
        <v>1.3</v>
      </c>
      <c r="J36" s="57">
        <f t="shared" si="18"/>
        <v>0</v>
      </c>
      <c r="K36" s="57">
        <f t="shared" si="18"/>
        <v>0</v>
      </c>
      <c r="L36" s="16"/>
      <c r="M36" s="16"/>
      <c r="N36" s="16"/>
      <c r="O36" s="83">
        <v>50</v>
      </c>
      <c r="P36" s="83"/>
      <c r="Q36" s="16">
        <f>SUM(Q37:Q39)</f>
        <v>1.360242</v>
      </c>
      <c r="R36" s="16">
        <f>SUM(R37:R39)</f>
        <v>0</v>
      </c>
      <c r="S36" s="16">
        <f>SUM(S37:S39)</f>
        <v>0.9521693999999999</v>
      </c>
      <c r="T36" s="16">
        <f>SUM(T37:T39)</f>
        <v>0.4080726</v>
      </c>
      <c r="U36" s="20"/>
      <c r="V36" s="20"/>
    </row>
    <row r="37" spans="1:22" ht="15.75" customHeight="1">
      <c r="A37" s="897"/>
      <c r="B37" s="882"/>
      <c r="C37" s="893"/>
      <c r="D37" s="13">
        <v>2010</v>
      </c>
      <c r="E37" s="46">
        <f>SUM(F37:K37)</f>
        <v>0.8</v>
      </c>
      <c r="F37" s="46"/>
      <c r="G37" s="46">
        <v>0.3</v>
      </c>
      <c r="H37" s="46"/>
      <c r="I37" s="46">
        <v>0.5</v>
      </c>
      <c r="J37" s="46"/>
      <c r="K37" s="46"/>
      <c r="L37" s="878"/>
      <c r="M37" s="878"/>
      <c r="N37" s="878"/>
      <c r="O37" s="83">
        <v>20</v>
      </c>
      <c r="P37" s="83"/>
      <c r="Q37" s="16">
        <f>SUM(R37:T37)</f>
        <v>0.5440968</v>
      </c>
      <c r="R37" s="16"/>
      <c r="S37" s="16">
        <f>O37*17439*12/1000000*0.13*0.7</f>
        <v>0.38086776</v>
      </c>
      <c r="T37" s="16">
        <f>O37*17439*12/1000000*0.13*0.3</f>
        <v>0.16322904000000002</v>
      </c>
      <c r="U37" s="20"/>
      <c r="V37" s="20"/>
    </row>
    <row r="38" spans="1:22" ht="15.75" customHeight="1">
      <c r="A38" s="897"/>
      <c r="B38" s="882"/>
      <c r="C38" s="893"/>
      <c r="D38" s="13">
        <v>2011</v>
      </c>
      <c r="E38" s="46">
        <f>SUM(F38:K38)</f>
        <v>0.8</v>
      </c>
      <c r="F38" s="46"/>
      <c r="G38" s="46">
        <v>0.3</v>
      </c>
      <c r="H38" s="46"/>
      <c r="I38" s="46">
        <v>0.5</v>
      </c>
      <c r="J38" s="46"/>
      <c r="K38" s="46"/>
      <c r="L38" s="878"/>
      <c r="M38" s="878"/>
      <c r="N38" s="878"/>
      <c r="O38" s="83">
        <v>15</v>
      </c>
      <c r="P38" s="83"/>
      <c r="Q38" s="16">
        <f>SUM(R38:T38)</f>
        <v>0.40807259999999995</v>
      </c>
      <c r="R38" s="16"/>
      <c r="S38" s="16">
        <f>O38*17439*12/1000000*0.13*0.7</f>
        <v>0.28565081999999997</v>
      </c>
      <c r="T38" s="16">
        <f>O38*17439*12/1000000*0.13*0.3</f>
        <v>0.12242178</v>
      </c>
      <c r="U38" s="20"/>
      <c r="V38" s="20"/>
    </row>
    <row r="39" spans="1:22" ht="32.25" customHeight="1">
      <c r="A39" s="897"/>
      <c r="B39" s="882"/>
      <c r="C39" s="893"/>
      <c r="D39" s="13">
        <v>2012</v>
      </c>
      <c r="E39" s="46">
        <f>SUM(F39:K39)</f>
        <v>0.6</v>
      </c>
      <c r="F39" s="46"/>
      <c r="G39" s="46">
        <v>0.3</v>
      </c>
      <c r="H39" s="46"/>
      <c r="I39" s="46">
        <v>0.3</v>
      </c>
      <c r="J39" s="46"/>
      <c r="K39" s="46"/>
      <c r="L39" s="878"/>
      <c r="M39" s="878"/>
      <c r="N39" s="878"/>
      <c r="O39" s="83">
        <v>15</v>
      </c>
      <c r="P39" s="83"/>
      <c r="Q39" s="16">
        <f>SUM(R39:T39)</f>
        <v>0.40807259999999995</v>
      </c>
      <c r="R39" s="16"/>
      <c r="S39" s="16">
        <f>O39*17439*12/1000000*0.13*0.7</f>
        <v>0.28565081999999997</v>
      </c>
      <c r="T39" s="16">
        <f>O39*17439*12/1000000*0.13*0.3</f>
        <v>0.12242178</v>
      </c>
      <c r="U39" s="20"/>
      <c r="V39" s="20"/>
    </row>
    <row r="40" spans="1:22" ht="16.5" customHeight="1">
      <c r="A40" s="894" t="s">
        <v>177</v>
      </c>
      <c r="B40" s="894"/>
      <c r="C40" s="894"/>
      <c r="D40" s="894"/>
      <c r="E40" s="894"/>
      <c r="F40" s="894"/>
      <c r="G40" s="894"/>
      <c r="H40" s="894"/>
      <c r="I40" s="894"/>
      <c r="J40" s="894"/>
      <c r="K40" s="894"/>
      <c r="L40" s="894"/>
      <c r="M40" s="894"/>
      <c r="N40" s="894"/>
      <c r="O40" s="894"/>
      <c r="P40" s="894"/>
      <c r="Q40" s="894"/>
      <c r="R40" s="894"/>
      <c r="S40" s="894"/>
      <c r="T40" s="894"/>
      <c r="U40" s="20"/>
      <c r="V40" s="20"/>
    </row>
    <row r="41" spans="1:22" ht="16.5" customHeight="1">
      <c r="A41" s="902"/>
      <c r="B41" s="895" t="s">
        <v>646</v>
      </c>
      <c r="C41" s="895"/>
      <c r="D41" s="41">
        <v>2010</v>
      </c>
      <c r="E41" s="52">
        <f>E56+E62+E68</f>
        <v>33.5</v>
      </c>
      <c r="F41" s="52">
        <f aca="true" t="shared" si="19" ref="F41:K41">F56+F62+F68</f>
        <v>0</v>
      </c>
      <c r="G41" s="52">
        <f t="shared" si="19"/>
        <v>0</v>
      </c>
      <c r="H41" s="52">
        <f t="shared" si="19"/>
        <v>0</v>
      </c>
      <c r="I41" s="52">
        <f t="shared" si="19"/>
        <v>30.5</v>
      </c>
      <c r="J41" s="52">
        <f t="shared" si="19"/>
        <v>3</v>
      </c>
      <c r="K41" s="52">
        <f t="shared" si="19"/>
        <v>0</v>
      </c>
      <c r="L41" s="875"/>
      <c r="M41" s="875"/>
      <c r="N41" s="52">
        <f>N56+N62+N68</f>
        <v>10</v>
      </c>
      <c r="O41" s="52">
        <f aca="true" t="shared" si="20" ref="O41:T41">O56+O62+O68</f>
        <v>15</v>
      </c>
      <c r="P41" s="52">
        <f t="shared" si="20"/>
        <v>15</v>
      </c>
      <c r="Q41" s="52">
        <f t="shared" si="20"/>
        <v>12.2</v>
      </c>
      <c r="R41" s="52">
        <f t="shared" si="20"/>
        <v>8</v>
      </c>
      <c r="S41" s="52">
        <f t="shared" si="20"/>
        <v>2.3</v>
      </c>
      <c r="T41" s="52">
        <f t="shared" si="20"/>
        <v>1.9</v>
      </c>
      <c r="U41" s="20"/>
      <c r="V41" s="20"/>
    </row>
    <row r="42" spans="1:22" ht="16.5" customHeight="1">
      <c r="A42" s="902"/>
      <c r="B42" s="895"/>
      <c r="C42" s="895"/>
      <c r="D42" s="41">
        <v>2011</v>
      </c>
      <c r="E42" s="52">
        <f aca="true" t="shared" si="21" ref="E42:K45">E57+E63+E69</f>
        <v>28</v>
      </c>
      <c r="F42" s="52">
        <f t="shared" si="21"/>
        <v>0</v>
      </c>
      <c r="G42" s="52">
        <f t="shared" si="21"/>
        <v>0</v>
      </c>
      <c r="H42" s="52">
        <f t="shared" si="21"/>
        <v>0</v>
      </c>
      <c r="I42" s="52">
        <f t="shared" si="21"/>
        <v>25</v>
      </c>
      <c r="J42" s="52">
        <f t="shared" si="21"/>
        <v>3</v>
      </c>
      <c r="K42" s="52">
        <f t="shared" si="21"/>
        <v>0</v>
      </c>
      <c r="L42" s="875"/>
      <c r="M42" s="875"/>
      <c r="N42" s="52">
        <f aca="true" t="shared" si="22" ref="N42:T45">N57+N63+N69</f>
        <v>10</v>
      </c>
      <c r="O42" s="52">
        <f t="shared" si="22"/>
        <v>70</v>
      </c>
      <c r="P42" s="52">
        <f t="shared" si="22"/>
        <v>85</v>
      </c>
      <c r="Q42" s="52">
        <f t="shared" si="22"/>
        <v>12.2</v>
      </c>
      <c r="R42" s="52">
        <f t="shared" si="22"/>
        <v>8</v>
      </c>
      <c r="S42" s="52">
        <f t="shared" si="22"/>
        <v>2.3</v>
      </c>
      <c r="T42" s="52">
        <f t="shared" si="22"/>
        <v>1.9</v>
      </c>
      <c r="U42" s="20"/>
      <c r="V42" s="20"/>
    </row>
    <row r="43" spans="1:22" ht="16.5" customHeight="1">
      <c r="A43" s="902"/>
      <c r="B43" s="895"/>
      <c r="C43" s="895"/>
      <c r="D43" s="42">
        <v>2012</v>
      </c>
      <c r="E43" s="52">
        <f t="shared" si="21"/>
        <v>28</v>
      </c>
      <c r="F43" s="52">
        <f t="shared" si="21"/>
        <v>0</v>
      </c>
      <c r="G43" s="52">
        <f t="shared" si="21"/>
        <v>0</v>
      </c>
      <c r="H43" s="52">
        <f t="shared" si="21"/>
        <v>0</v>
      </c>
      <c r="I43" s="52">
        <f t="shared" si="21"/>
        <v>25</v>
      </c>
      <c r="J43" s="52">
        <f t="shared" si="21"/>
        <v>3</v>
      </c>
      <c r="K43" s="52">
        <f t="shared" si="21"/>
        <v>0</v>
      </c>
      <c r="L43" s="875"/>
      <c r="M43" s="875"/>
      <c r="N43" s="52">
        <f t="shared" si="22"/>
        <v>10</v>
      </c>
      <c r="O43" s="52">
        <f t="shared" si="22"/>
        <v>70</v>
      </c>
      <c r="P43" s="52">
        <f t="shared" si="22"/>
        <v>155</v>
      </c>
      <c r="Q43" s="52">
        <f t="shared" si="22"/>
        <v>12.2</v>
      </c>
      <c r="R43" s="52">
        <f t="shared" si="22"/>
        <v>8</v>
      </c>
      <c r="S43" s="52">
        <f t="shared" si="22"/>
        <v>2.3</v>
      </c>
      <c r="T43" s="52">
        <f t="shared" si="22"/>
        <v>1.9</v>
      </c>
      <c r="U43" s="20"/>
      <c r="V43" s="20"/>
    </row>
    <row r="44" spans="1:22" ht="16.5" customHeight="1">
      <c r="A44" s="902"/>
      <c r="B44" s="895"/>
      <c r="C44" s="895"/>
      <c r="D44" s="42">
        <v>2013</v>
      </c>
      <c r="E44" s="52">
        <f t="shared" si="21"/>
        <v>0</v>
      </c>
      <c r="F44" s="52">
        <f t="shared" si="21"/>
        <v>0</v>
      </c>
      <c r="G44" s="52">
        <f t="shared" si="21"/>
        <v>0</v>
      </c>
      <c r="H44" s="52">
        <f t="shared" si="21"/>
        <v>0</v>
      </c>
      <c r="I44" s="52">
        <f t="shared" si="21"/>
        <v>0</v>
      </c>
      <c r="J44" s="52">
        <f t="shared" si="21"/>
        <v>0</v>
      </c>
      <c r="K44" s="52">
        <f t="shared" si="21"/>
        <v>0</v>
      </c>
      <c r="L44" s="875"/>
      <c r="M44" s="875"/>
      <c r="N44" s="52">
        <f t="shared" si="22"/>
        <v>10</v>
      </c>
      <c r="O44" s="52">
        <f t="shared" si="22"/>
        <v>0</v>
      </c>
      <c r="P44" s="52">
        <f t="shared" si="22"/>
        <v>155</v>
      </c>
      <c r="Q44" s="52">
        <f t="shared" si="22"/>
        <v>12.2</v>
      </c>
      <c r="R44" s="52">
        <f t="shared" si="22"/>
        <v>8</v>
      </c>
      <c r="S44" s="52">
        <f t="shared" si="22"/>
        <v>2.3</v>
      </c>
      <c r="T44" s="52">
        <f t="shared" si="22"/>
        <v>1.9</v>
      </c>
      <c r="U44" s="20"/>
      <c r="V44" s="20"/>
    </row>
    <row r="45" spans="1:22" ht="15">
      <c r="A45" s="902"/>
      <c r="B45" s="895"/>
      <c r="C45" s="895"/>
      <c r="D45" s="42">
        <v>2014</v>
      </c>
      <c r="E45" s="52">
        <f t="shared" si="21"/>
        <v>0</v>
      </c>
      <c r="F45" s="52">
        <f t="shared" si="21"/>
        <v>0</v>
      </c>
      <c r="G45" s="52">
        <f t="shared" si="21"/>
        <v>0</v>
      </c>
      <c r="H45" s="52">
        <f t="shared" si="21"/>
        <v>0</v>
      </c>
      <c r="I45" s="52">
        <f t="shared" si="21"/>
        <v>0</v>
      </c>
      <c r="J45" s="52">
        <f t="shared" si="21"/>
        <v>0</v>
      </c>
      <c r="K45" s="52">
        <f t="shared" si="21"/>
        <v>0</v>
      </c>
      <c r="L45" s="875"/>
      <c r="M45" s="875"/>
      <c r="N45" s="52">
        <f t="shared" si="22"/>
        <v>10</v>
      </c>
      <c r="O45" s="52">
        <f t="shared" si="22"/>
        <v>0</v>
      </c>
      <c r="P45" s="52">
        <f t="shared" si="22"/>
        <v>155</v>
      </c>
      <c r="Q45" s="52">
        <f t="shared" si="22"/>
        <v>12.2</v>
      </c>
      <c r="R45" s="52">
        <f t="shared" si="22"/>
        <v>8</v>
      </c>
      <c r="S45" s="52">
        <f t="shared" si="22"/>
        <v>2.3</v>
      </c>
      <c r="T45" s="52">
        <f t="shared" si="22"/>
        <v>1.9</v>
      </c>
      <c r="U45" s="20"/>
      <c r="V45" s="20"/>
    </row>
    <row r="46" spans="1:22" ht="15">
      <c r="A46" s="902"/>
      <c r="B46" s="895"/>
      <c r="C46" s="895"/>
      <c r="D46" s="41" t="s">
        <v>378</v>
      </c>
      <c r="E46" s="52">
        <f aca="true" t="shared" si="23" ref="E46:K46">SUM(E41:E45)</f>
        <v>89.5</v>
      </c>
      <c r="F46" s="52">
        <f t="shared" si="23"/>
        <v>0</v>
      </c>
      <c r="G46" s="52">
        <f t="shared" si="23"/>
        <v>0</v>
      </c>
      <c r="H46" s="52">
        <f t="shared" si="23"/>
        <v>0</v>
      </c>
      <c r="I46" s="52">
        <f t="shared" si="23"/>
        <v>80.5</v>
      </c>
      <c r="J46" s="52">
        <f t="shared" si="23"/>
        <v>9</v>
      </c>
      <c r="K46" s="52">
        <f t="shared" si="23"/>
        <v>0</v>
      </c>
      <c r="L46" s="875"/>
      <c r="M46" s="875"/>
      <c r="N46" s="52">
        <f aca="true" t="shared" si="24" ref="N46:T46">SUM(N41:N45)</f>
        <v>50</v>
      </c>
      <c r="O46" s="82">
        <f t="shared" si="24"/>
        <v>155</v>
      </c>
      <c r="P46" s="52">
        <f t="shared" si="24"/>
        <v>565</v>
      </c>
      <c r="Q46" s="52">
        <f t="shared" si="24"/>
        <v>61</v>
      </c>
      <c r="R46" s="52">
        <f t="shared" si="24"/>
        <v>40</v>
      </c>
      <c r="S46" s="52">
        <f t="shared" si="24"/>
        <v>11.5</v>
      </c>
      <c r="T46" s="52">
        <f t="shared" si="24"/>
        <v>9.5</v>
      </c>
      <c r="U46" s="20"/>
      <c r="V46" s="20"/>
    </row>
    <row r="47" spans="1:22" ht="15">
      <c r="A47" s="906" t="s">
        <v>380</v>
      </c>
      <c r="B47" s="907"/>
      <c r="C47" s="907"/>
      <c r="D47" s="907"/>
      <c r="E47" s="907"/>
      <c r="F47" s="907"/>
      <c r="G47" s="907"/>
      <c r="H47" s="907"/>
      <c r="I47" s="907"/>
      <c r="J47" s="907"/>
      <c r="K47" s="907"/>
      <c r="L47" s="907"/>
      <c r="M47" s="907"/>
      <c r="N47" s="907"/>
      <c r="O47" s="907"/>
      <c r="P47" s="907"/>
      <c r="Q47" s="907"/>
      <c r="R47" s="907"/>
      <c r="S47" s="907"/>
      <c r="T47" s="908"/>
      <c r="U47" s="20"/>
      <c r="V47" s="20"/>
    </row>
    <row r="48" spans="1:22" ht="15" customHeight="1">
      <c r="A48" s="909" t="s">
        <v>72</v>
      </c>
      <c r="B48" s="900" t="s">
        <v>575</v>
      </c>
      <c r="C48" s="904" t="s">
        <v>451</v>
      </c>
      <c r="D48" s="74" t="s">
        <v>445</v>
      </c>
      <c r="E48" s="77">
        <f aca="true" t="shared" si="25" ref="E48:K48">SUM(E49:E53)</f>
        <v>194</v>
      </c>
      <c r="F48" s="77">
        <f t="shared" si="25"/>
        <v>0</v>
      </c>
      <c r="G48" s="77">
        <f t="shared" si="25"/>
        <v>0</v>
      </c>
      <c r="H48" s="77">
        <f t="shared" si="25"/>
        <v>0</v>
      </c>
      <c r="I48" s="77">
        <f t="shared" si="25"/>
        <v>194</v>
      </c>
      <c r="J48" s="77">
        <f t="shared" si="25"/>
        <v>0</v>
      </c>
      <c r="K48" s="77">
        <f t="shared" si="25"/>
        <v>0</v>
      </c>
      <c r="L48" s="903" t="s">
        <v>794</v>
      </c>
      <c r="M48" s="903" t="s">
        <v>458</v>
      </c>
      <c r="N48" s="26">
        <f>SUM(N49:N53)</f>
        <v>232</v>
      </c>
      <c r="O48" s="29">
        <f>SUM(O49:O53)</f>
        <v>70</v>
      </c>
      <c r="P48" s="29"/>
      <c r="Q48" s="26">
        <f aca="true" t="shared" si="26" ref="Q48:Q53">SUM(R48:T48)</f>
        <v>238.79999999999998</v>
      </c>
      <c r="R48" s="26">
        <f>SUM(R49:R53)</f>
        <v>189.6</v>
      </c>
      <c r="S48" s="26">
        <f>SUM(S49:S53)</f>
        <v>46</v>
      </c>
      <c r="T48" s="26">
        <f>SUM(T49:T53)</f>
        <v>3.2</v>
      </c>
      <c r="U48" s="20"/>
      <c r="V48" s="20"/>
    </row>
    <row r="49" spans="1:22" ht="15">
      <c r="A49" s="909"/>
      <c r="B49" s="900"/>
      <c r="C49" s="904"/>
      <c r="D49" s="27">
        <v>2010</v>
      </c>
      <c r="E49" s="26">
        <f>SUM(F49:K49)</f>
        <v>0</v>
      </c>
      <c r="F49" s="77"/>
      <c r="G49" s="77"/>
      <c r="H49" s="77"/>
      <c r="I49" s="77"/>
      <c r="J49" s="77"/>
      <c r="K49" s="77"/>
      <c r="L49" s="903"/>
      <c r="M49" s="903"/>
      <c r="N49" s="26">
        <v>0</v>
      </c>
      <c r="O49" s="29">
        <v>0</v>
      </c>
      <c r="P49" s="29">
        <f>O49</f>
        <v>0</v>
      </c>
      <c r="Q49" s="26">
        <f t="shared" si="26"/>
        <v>0</v>
      </c>
      <c r="R49" s="26">
        <v>0</v>
      </c>
      <c r="S49" s="26">
        <v>0</v>
      </c>
      <c r="T49" s="26">
        <v>0</v>
      </c>
      <c r="U49" s="20"/>
      <c r="V49" s="20"/>
    </row>
    <row r="50" spans="1:22" ht="15">
      <c r="A50" s="909"/>
      <c r="B50" s="900"/>
      <c r="C50" s="904"/>
      <c r="D50" s="27">
        <v>2011</v>
      </c>
      <c r="E50" s="26">
        <f>SUM(F50:K50)</f>
        <v>97</v>
      </c>
      <c r="F50" s="30"/>
      <c r="G50" s="30"/>
      <c r="H50" s="30"/>
      <c r="I50" s="30">
        <v>97</v>
      </c>
      <c r="J50" s="30"/>
      <c r="K50" s="53"/>
      <c r="L50" s="903"/>
      <c r="M50" s="903"/>
      <c r="N50" s="30">
        <v>58</v>
      </c>
      <c r="O50" s="84">
        <v>70</v>
      </c>
      <c r="P50" s="29">
        <f>P49+O50</f>
        <v>70</v>
      </c>
      <c r="Q50" s="26">
        <f t="shared" si="26"/>
        <v>59.699999999999996</v>
      </c>
      <c r="R50" s="30">
        <v>47.4</v>
      </c>
      <c r="S50" s="30">
        <v>11.5</v>
      </c>
      <c r="T50" s="30">
        <v>0.8</v>
      </c>
      <c r="U50" s="20"/>
      <c r="V50" s="20"/>
    </row>
    <row r="51" spans="1:22" ht="15">
      <c r="A51" s="909"/>
      <c r="B51" s="900"/>
      <c r="C51" s="904"/>
      <c r="D51" s="27">
        <v>2012</v>
      </c>
      <c r="E51" s="26">
        <f>SUM(F51:K51)</f>
        <v>97</v>
      </c>
      <c r="F51" s="30"/>
      <c r="G51" s="30"/>
      <c r="H51" s="30"/>
      <c r="I51" s="30">
        <v>97</v>
      </c>
      <c r="J51" s="30"/>
      <c r="K51" s="53"/>
      <c r="L51" s="903"/>
      <c r="M51" s="903"/>
      <c r="N51" s="30">
        <v>58</v>
      </c>
      <c r="O51" s="29">
        <v>0</v>
      </c>
      <c r="P51" s="29">
        <f>P50+O51</f>
        <v>70</v>
      </c>
      <c r="Q51" s="26">
        <f t="shared" si="26"/>
        <v>59.699999999999996</v>
      </c>
      <c r="R51" s="30">
        <v>47.4</v>
      </c>
      <c r="S51" s="30">
        <v>11.5</v>
      </c>
      <c r="T51" s="30">
        <v>0.8</v>
      </c>
      <c r="U51" s="20"/>
      <c r="V51" s="20"/>
    </row>
    <row r="52" spans="1:22" ht="15">
      <c r="A52" s="909"/>
      <c r="B52" s="900"/>
      <c r="C52" s="904"/>
      <c r="D52" s="27">
        <v>2013</v>
      </c>
      <c r="E52" s="26">
        <f>SUM(F52:K52)</f>
        <v>0</v>
      </c>
      <c r="F52" s="30"/>
      <c r="G52" s="30"/>
      <c r="H52" s="30"/>
      <c r="I52" s="30"/>
      <c r="J52" s="30"/>
      <c r="K52" s="53"/>
      <c r="L52" s="903"/>
      <c r="M52" s="903"/>
      <c r="N52" s="30">
        <v>58</v>
      </c>
      <c r="O52" s="29">
        <v>0</v>
      </c>
      <c r="P52" s="29">
        <f>P51+O52</f>
        <v>70</v>
      </c>
      <c r="Q52" s="26">
        <f t="shared" si="26"/>
        <v>59.699999999999996</v>
      </c>
      <c r="R52" s="30">
        <v>47.4</v>
      </c>
      <c r="S52" s="30">
        <v>11.5</v>
      </c>
      <c r="T52" s="30">
        <v>0.8</v>
      </c>
      <c r="U52" s="20"/>
      <c r="V52" s="20"/>
    </row>
    <row r="53" spans="1:22" ht="15">
      <c r="A53" s="909"/>
      <c r="B53" s="900"/>
      <c r="C53" s="904"/>
      <c r="D53" s="27">
        <v>2014</v>
      </c>
      <c r="E53" s="26">
        <f>SUM(F53:K53)</f>
        <v>0</v>
      </c>
      <c r="F53" s="30"/>
      <c r="G53" s="30"/>
      <c r="H53" s="30"/>
      <c r="I53" s="30"/>
      <c r="J53" s="30"/>
      <c r="K53" s="53"/>
      <c r="L53" s="903"/>
      <c r="M53" s="903"/>
      <c r="N53" s="30">
        <v>58</v>
      </c>
      <c r="O53" s="29">
        <v>0</v>
      </c>
      <c r="P53" s="29">
        <f>P52+O53</f>
        <v>70</v>
      </c>
      <c r="Q53" s="26">
        <f t="shared" si="26"/>
        <v>59.699999999999996</v>
      </c>
      <c r="R53" s="30">
        <v>47.4</v>
      </c>
      <c r="S53" s="30">
        <v>11.5</v>
      </c>
      <c r="T53" s="30">
        <v>0.8</v>
      </c>
      <c r="U53" s="20"/>
      <c r="V53" s="20"/>
    </row>
    <row r="54" spans="1:22" ht="15">
      <c r="A54" s="906" t="s">
        <v>161</v>
      </c>
      <c r="B54" s="907"/>
      <c r="C54" s="907"/>
      <c r="D54" s="907"/>
      <c r="E54" s="907"/>
      <c r="F54" s="907"/>
      <c r="G54" s="907"/>
      <c r="H54" s="907"/>
      <c r="I54" s="907"/>
      <c r="J54" s="907"/>
      <c r="K54" s="907"/>
      <c r="L54" s="907"/>
      <c r="M54" s="907"/>
      <c r="N54" s="907"/>
      <c r="O54" s="907"/>
      <c r="P54" s="907"/>
      <c r="Q54" s="907"/>
      <c r="R54" s="907"/>
      <c r="S54" s="907"/>
      <c r="T54" s="908"/>
      <c r="U54" s="20"/>
      <c r="V54" s="20"/>
    </row>
    <row r="55" spans="1:22" ht="15" customHeight="1">
      <c r="A55" s="897">
        <v>4</v>
      </c>
      <c r="B55" s="905" t="s">
        <v>573</v>
      </c>
      <c r="C55" s="904" t="s">
        <v>539</v>
      </c>
      <c r="D55" s="74" t="s">
        <v>445</v>
      </c>
      <c r="E55" s="77">
        <f aca="true" t="shared" si="27" ref="E55:K55">SUM(E56:E60)</f>
        <v>21.5</v>
      </c>
      <c r="F55" s="77">
        <f t="shared" si="27"/>
        <v>0</v>
      </c>
      <c r="G55" s="77">
        <f t="shared" si="27"/>
        <v>0</v>
      </c>
      <c r="H55" s="77">
        <f t="shared" si="27"/>
        <v>0</v>
      </c>
      <c r="I55" s="77">
        <f t="shared" si="27"/>
        <v>21.5</v>
      </c>
      <c r="J55" s="77">
        <f t="shared" si="27"/>
        <v>0</v>
      </c>
      <c r="K55" s="77">
        <f t="shared" si="27"/>
        <v>0</v>
      </c>
      <c r="L55" s="903" t="s">
        <v>792</v>
      </c>
      <c r="M55" s="903"/>
      <c r="N55" s="26">
        <f>SUM(N56:N60)</f>
        <v>15</v>
      </c>
      <c r="O55" s="29">
        <f>SUM(O56:O60)</f>
        <v>25</v>
      </c>
      <c r="P55" s="29"/>
      <c r="Q55" s="26">
        <f aca="true" t="shared" si="28" ref="Q55:Q72">SUM(R55:T55)</f>
        <v>13</v>
      </c>
      <c r="R55" s="26">
        <f>SUM(R56:R60)</f>
        <v>9.5</v>
      </c>
      <c r="S55" s="26">
        <f>SUM(S56:S60)</f>
        <v>2</v>
      </c>
      <c r="T55" s="26">
        <f>SUM(T56:T60)</f>
        <v>1.5</v>
      </c>
      <c r="U55" s="20"/>
      <c r="V55" s="20"/>
    </row>
    <row r="56" spans="1:22" ht="15">
      <c r="A56" s="897"/>
      <c r="B56" s="905"/>
      <c r="C56" s="904"/>
      <c r="D56" s="27">
        <v>2010</v>
      </c>
      <c r="E56" s="26">
        <f aca="true" t="shared" si="29" ref="E56:E72">SUM(F56:K56)</f>
        <v>7.5</v>
      </c>
      <c r="F56" s="26"/>
      <c r="G56" s="26"/>
      <c r="H56" s="26"/>
      <c r="I56" s="26">
        <v>7.5</v>
      </c>
      <c r="J56" s="26"/>
      <c r="K56" s="53"/>
      <c r="L56" s="903"/>
      <c r="M56" s="903"/>
      <c r="N56" s="26">
        <v>3</v>
      </c>
      <c r="O56" s="29">
        <v>5</v>
      </c>
      <c r="P56" s="29">
        <f>O56</f>
        <v>5</v>
      </c>
      <c r="Q56" s="26">
        <f t="shared" si="28"/>
        <v>2.5999999999999996</v>
      </c>
      <c r="R56" s="26">
        <v>1.9</v>
      </c>
      <c r="S56" s="26">
        <v>0.4</v>
      </c>
      <c r="T56" s="26">
        <v>0.3</v>
      </c>
      <c r="U56" s="20"/>
      <c r="V56" s="20"/>
    </row>
    <row r="57" spans="1:22" ht="15">
      <c r="A57" s="897"/>
      <c r="B57" s="905"/>
      <c r="C57" s="904"/>
      <c r="D57" s="27">
        <v>2011</v>
      </c>
      <c r="E57" s="26">
        <f t="shared" si="29"/>
        <v>7</v>
      </c>
      <c r="F57" s="26"/>
      <c r="G57" s="26"/>
      <c r="H57" s="26"/>
      <c r="I57" s="26">
        <v>7</v>
      </c>
      <c r="J57" s="26"/>
      <c r="K57" s="53"/>
      <c r="L57" s="903"/>
      <c r="M57" s="903"/>
      <c r="N57" s="26">
        <v>3</v>
      </c>
      <c r="O57" s="29">
        <v>10</v>
      </c>
      <c r="P57" s="29">
        <f>P56+O57</f>
        <v>15</v>
      </c>
      <c r="Q57" s="26">
        <f t="shared" si="28"/>
        <v>2.5999999999999996</v>
      </c>
      <c r="R57" s="26">
        <v>1.9</v>
      </c>
      <c r="S57" s="26">
        <v>0.4</v>
      </c>
      <c r="T57" s="26">
        <v>0.3</v>
      </c>
      <c r="U57" s="20"/>
      <c r="V57" s="20"/>
    </row>
    <row r="58" spans="1:22" ht="15">
      <c r="A58" s="897"/>
      <c r="B58" s="905"/>
      <c r="C58" s="904"/>
      <c r="D58" s="27">
        <v>2012</v>
      </c>
      <c r="E58" s="26">
        <f t="shared" si="29"/>
        <v>7</v>
      </c>
      <c r="F58" s="26"/>
      <c r="G58" s="26"/>
      <c r="H58" s="26"/>
      <c r="I58" s="26">
        <v>7</v>
      </c>
      <c r="J58" s="26"/>
      <c r="K58" s="53"/>
      <c r="L58" s="903"/>
      <c r="M58" s="903"/>
      <c r="N58" s="26">
        <v>3</v>
      </c>
      <c r="O58" s="29">
        <v>10</v>
      </c>
      <c r="P58" s="29">
        <f>P57+O58</f>
        <v>25</v>
      </c>
      <c r="Q58" s="26">
        <f t="shared" si="28"/>
        <v>2.5999999999999996</v>
      </c>
      <c r="R58" s="26">
        <v>1.9</v>
      </c>
      <c r="S58" s="26">
        <v>0.4</v>
      </c>
      <c r="T58" s="26">
        <v>0.3</v>
      </c>
      <c r="U58" s="20"/>
      <c r="V58" s="20"/>
    </row>
    <row r="59" spans="1:22" ht="15">
      <c r="A59" s="897"/>
      <c r="B59" s="905"/>
      <c r="C59" s="904"/>
      <c r="D59" s="27">
        <v>2013</v>
      </c>
      <c r="E59" s="26">
        <f t="shared" si="29"/>
        <v>0</v>
      </c>
      <c r="F59" s="26"/>
      <c r="G59" s="26"/>
      <c r="H59" s="26"/>
      <c r="I59" s="26"/>
      <c r="J59" s="26"/>
      <c r="K59" s="53"/>
      <c r="L59" s="903"/>
      <c r="M59" s="903"/>
      <c r="N59" s="26">
        <v>3</v>
      </c>
      <c r="O59" s="29">
        <v>0</v>
      </c>
      <c r="P59" s="29">
        <f>P58+O59</f>
        <v>25</v>
      </c>
      <c r="Q59" s="26">
        <f t="shared" si="28"/>
        <v>2.5999999999999996</v>
      </c>
      <c r="R59" s="26">
        <v>1.9</v>
      </c>
      <c r="S59" s="26">
        <v>0.4</v>
      </c>
      <c r="T59" s="26">
        <v>0.3</v>
      </c>
      <c r="U59" s="20"/>
      <c r="V59" s="20"/>
    </row>
    <row r="60" spans="1:22" ht="15">
      <c r="A60" s="897"/>
      <c r="B60" s="905"/>
      <c r="C60" s="904"/>
      <c r="D60" s="27">
        <v>2014</v>
      </c>
      <c r="E60" s="26">
        <f t="shared" si="29"/>
        <v>0</v>
      </c>
      <c r="F60" s="26"/>
      <c r="G60" s="26"/>
      <c r="H60" s="26"/>
      <c r="I60" s="26"/>
      <c r="J60" s="26"/>
      <c r="K60" s="53"/>
      <c r="L60" s="903"/>
      <c r="M60" s="903"/>
      <c r="N60" s="26">
        <v>3</v>
      </c>
      <c r="O60" s="29">
        <v>0</v>
      </c>
      <c r="P60" s="29">
        <f>P59+O60</f>
        <v>25</v>
      </c>
      <c r="Q60" s="26">
        <f t="shared" si="28"/>
        <v>2.5999999999999996</v>
      </c>
      <c r="R60" s="26">
        <v>1.9</v>
      </c>
      <c r="S60" s="26">
        <v>0.4</v>
      </c>
      <c r="T60" s="26">
        <v>0.3</v>
      </c>
      <c r="U60" s="20"/>
      <c r="V60" s="20"/>
    </row>
    <row r="61" spans="1:22" ht="15" customHeight="1">
      <c r="A61" s="897">
        <f>A55+1</f>
        <v>5</v>
      </c>
      <c r="B61" s="905" t="s">
        <v>573</v>
      </c>
      <c r="C61" s="904" t="s">
        <v>448</v>
      </c>
      <c r="D61" s="74" t="s">
        <v>445</v>
      </c>
      <c r="E61" s="77">
        <f aca="true" t="shared" si="30" ref="E61:K61">SUM(E62:E66)</f>
        <v>18</v>
      </c>
      <c r="F61" s="77">
        <f t="shared" si="30"/>
        <v>0</v>
      </c>
      <c r="G61" s="77">
        <f t="shared" si="30"/>
        <v>0</v>
      </c>
      <c r="H61" s="77">
        <f t="shared" si="30"/>
        <v>0</v>
      </c>
      <c r="I61" s="77">
        <f t="shared" si="30"/>
        <v>9</v>
      </c>
      <c r="J61" s="77">
        <f t="shared" si="30"/>
        <v>9</v>
      </c>
      <c r="K61" s="77">
        <f t="shared" si="30"/>
        <v>0</v>
      </c>
      <c r="L61" s="903" t="s">
        <v>792</v>
      </c>
      <c r="M61" s="903" t="s">
        <v>456</v>
      </c>
      <c r="N61" s="26">
        <f>SUM(N62:N66)</f>
        <v>15</v>
      </c>
      <c r="O61" s="29">
        <f>SUM(O62:O66)</f>
        <v>30</v>
      </c>
      <c r="P61" s="29"/>
      <c r="Q61" s="26">
        <f t="shared" si="28"/>
        <v>12</v>
      </c>
      <c r="R61" s="26">
        <f>SUM(R62:R66)</f>
        <v>8</v>
      </c>
      <c r="S61" s="26">
        <f>SUM(S62:S66)</f>
        <v>2</v>
      </c>
      <c r="T61" s="26">
        <f>SUM(T62:T66)</f>
        <v>2</v>
      </c>
      <c r="U61" s="20"/>
      <c r="V61" s="20"/>
    </row>
    <row r="62" spans="1:22" ht="15">
      <c r="A62" s="897"/>
      <c r="B62" s="905"/>
      <c r="C62" s="904"/>
      <c r="D62" s="27">
        <v>2010</v>
      </c>
      <c r="E62" s="26">
        <f t="shared" si="29"/>
        <v>6</v>
      </c>
      <c r="F62" s="26"/>
      <c r="G62" s="26"/>
      <c r="H62" s="26"/>
      <c r="I62" s="26">
        <v>3</v>
      </c>
      <c r="J62" s="26">
        <v>3</v>
      </c>
      <c r="K62" s="53"/>
      <c r="L62" s="903"/>
      <c r="M62" s="903"/>
      <c r="N62" s="26">
        <v>3</v>
      </c>
      <c r="O62" s="29">
        <v>10</v>
      </c>
      <c r="P62" s="29">
        <f>O62</f>
        <v>10</v>
      </c>
      <c r="Q62" s="26">
        <f t="shared" si="28"/>
        <v>2.4</v>
      </c>
      <c r="R62" s="26">
        <v>1.6</v>
      </c>
      <c r="S62" s="26">
        <v>0.4</v>
      </c>
      <c r="T62" s="26">
        <v>0.4</v>
      </c>
      <c r="U62" s="20"/>
      <c r="V62" s="20"/>
    </row>
    <row r="63" spans="1:22" ht="15">
      <c r="A63" s="897"/>
      <c r="B63" s="905"/>
      <c r="C63" s="904"/>
      <c r="D63" s="27">
        <v>2011</v>
      </c>
      <c r="E63" s="26">
        <f t="shared" si="29"/>
        <v>6</v>
      </c>
      <c r="F63" s="26"/>
      <c r="G63" s="26"/>
      <c r="H63" s="26"/>
      <c r="I63" s="26">
        <v>3</v>
      </c>
      <c r="J63" s="26">
        <v>3</v>
      </c>
      <c r="K63" s="53"/>
      <c r="L63" s="903"/>
      <c r="M63" s="903"/>
      <c r="N63" s="26">
        <v>3</v>
      </c>
      <c r="O63" s="29">
        <v>10</v>
      </c>
      <c r="P63" s="29">
        <f>P62+O63</f>
        <v>20</v>
      </c>
      <c r="Q63" s="26">
        <f t="shared" si="28"/>
        <v>2.4</v>
      </c>
      <c r="R63" s="26">
        <v>1.6</v>
      </c>
      <c r="S63" s="26">
        <v>0.4</v>
      </c>
      <c r="T63" s="26">
        <v>0.4</v>
      </c>
      <c r="U63" s="20"/>
      <c r="V63" s="20"/>
    </row>
    <row r="64" spans="1:22" ht="15">
      <c r="A64" s="897"/>
      <c r="B64" s="905"/>
      <c r="C64" s="904"/>
      <c r="D64" s="27">
        <v>2012</v>
      </c>
      <c r="E64" s="26">
        <f t="shared" si="29"/>
        <v>6</v>
      </c>
      <c r="F64" s="26"/>
      <c r="G64" s="26"/>
      <c r="H64" s="26"/>
      <c r="I64" s="26">
        <v>3</v>
      </c>
      <c r="J64" s="26">
        <v>3</v>
      </c>
      <c r="K64" s="53"/>
      <c r="L64" s="903"/>
      <c r="M64" s="903"/>
      <c r="N64" s="26">
        <v>3</v>
      </c>
      <c r="O64" s="29">
        <v>10</v>
      </c>
      <c r="P64" s="29">
        <f>P63+O64</f>
        <v>30</v>
      </c>
      <c r="Q64" s="26">
        <f t="shared" si="28"/>
        <v>2.4</v>
      </c>
      <c r="R64" s="26">
        <v>1.6</v>
      </c>
      <c r="S64" s="26">
        <v>0.4</v>
      </c>
      <c r="T64" s="26">
        <v>0.4</v>
      </c>
      <c r="U64" s="20"/>
      <c r="V64" s="20"/>
    </row>
    <row r="65" spans="1:22" ht="15">
      <c r="A65" s="897"/>
      <c r="B65" s="905"/>
      <c r="C65" s="904"/>
      <c r="D65" s="27">
        <v>2013</v>
      </c>
      <c r="E65" s="26">
        <f t="shared" si="29"/>
        <v>0</v>
      </c>
      <c r="F65" s="26"/>
      <c r="G65" s="26"/>
      <c r="H65" s="26"/>
      <c r="I65" s="26"/>
      <c r="J65" s="26"/>
      <c r="K65" s="53"/>
      <c r="L65" s="903"/>
      <c r="M65" s="903"/>
      <c r="N65" s="26">
        <v>3</v>
      </c>
      <c r="O65" s="29">
        <v>0</v>
      </c>
      <c r="P65" s="29">
        <f>P64+O65</f>
        <v>30</v>
      </c>
      <c r="Q65" s="26">
        <f t="shared" si="28"/>
        <v>2.4</v>
      </c>
      <c r="R65" s="26">
        <v>1.6</v>
      </c>
      <c r="S65" s="26">
        <v>0.4</v>
      </c>
      <c r="T65" s="26">
        <v>0.4</v>
      </c>
      <c r="U65" s="20"/>
      <c r="V65" s="20"/>
    </row>
    <row r="66" spans="1:22" ht="15">
      <c r="A66" s="897"/>
      <c r="B66" s="905"/>
      <c r="C66" s="904"/>
      <c r="D66" s="27">
        <v>2014</v>
      </c>
      <c r="E66" s="26">
        <f t="shared" si="29"/>
        <v>0</v>
      </c>
      <c r="F66" s="26"/>
      <c r="G66" s="26"/>
      <c r="H66" s="26"/>
      <c r="I66" s="26"/>
      <c r="J66" s="26"/>
      <c r="K66" s="53"/>
      <c r="L66" s="903"/>
      <c r="M66" s="903"/>
      <c r="N66" s="26">
        <v>3</v>
      </c>
      <c r="O66" s="29">
        <v>0</v>
      </c>
      <c r="P66" s="29">
        <f>P65+O66</f>
        <v>30</v>
      </c>
      <c r="Q66" s="26">
        <f t="shared" si="28"/>
        <v>2.4</v>
      </c>
      <c r="R66" s="26">
        <v>1.6</v>
      </c>
      <c r="S66" s="26">
        <v>0.4</v>
      </c>
      <c r="T66" s="26">
        <v>0.4</v>
      </c>
      <c r="U66" s="20"/>
      <c r="V66" s="20"/>
    </row>
    <row r="67" spans="1:22" ht="15" customHeight="1">
      <c r="A67" s="897">
        <f>A61+1</f>
        <v>6</v>
      </c>
      <c r="B67" s="905" t="s">
        <v>573</v>
      </c>
      <c r="C67" s="904" t="s">
        <v>449</v>
      </c>
      <c r="D67" s="74" t="s">
        <v>445</v>
      </c>
      <c r="E67" s="77">
        <f aca="true" t="shared" si="31" ref="E67:K67">SUM(E68:E72)</f>
        <v>50</v>
      </c>
      <c r="F67" s="77">
        <f t="shared" si="31"/>
        <v>0</v>
      </c>
      <c r="G67" s="77">
        <f t="shared" si="31"/>
        <v>0</v>
      </c>
      <c r="H67" s="77">
        <f t="shared" si="31"/>
        <v>0</v>
      </c>
      <c r="I67" s="77">
        <f t="shared" si="31"/>
        <v>50</v>
      </c>
      <c r="J67" s="77">
        <f t="shared" si="31"/>
        <v>0</v>
      </c>
      <c r="K67" s="77">
        <f t="shared" si="31"/>
        <v>0</v>
      </c>
      <c r="L67" s="903" t="s">
        <v>792</v>
      </c>
      <c r="M67" s="903" t="s">
        <v>457</v>
      </c>
      <c r="N67" s="26">
        <f>SUM(N68:N72)</f>
        <v>20</v>
      </c>
      <c r="O67" s="29">
        <f>SUM(O68:O72)</f>
        <v>100</v>
      </c>
      <c r="P67" s="29"/>
      <c r="Q67" s="26">
        <f t="shared" si="28"/>
        <v>36</v>
      </c>
      <c r="R67" s="26">
        <f>SUM(R68:R72)</f>
        <v>22.5</v>
      </c>
      <c r="S67" s="26">
        <f>SUM(S68:S72)</f>
        <v>7.5</v>
      </c>
      <c r="T67" s="26">
        <f>SUM(T68:T72)</f>
        <v>6</v>
      </c>
      <c r="U67" s="20"/>
      <c r="V67" s="20"/>
    </row>
    <row r="68" spans="1:22" ht="15">
      <c r="A68" s="897"/>
      <c r="B68" s="905"/>
      <c r="C68" s="904"/>
      <c r="D68" s="27">
        <v>2010</v>
      </c>
      <c r="E68" s="26">
        <f t="shared" si="29"/>
        <v>20</v>
      </c>
      <c r="F68" s="26"/>
      <c r="G68" s="26"/>
      <c r="H68" s="26"/>
      <c r="I68" s="26">
        <v>20</v>
      </c>
      <c r="J68" s="26"/>
      <c r="K68" s="53"/>
      <c r="L68" s="903"/>
      <c r="M68" s="903"/>
      <c r="N68" s="26">
        <v>4</v>
      </c>
      <c r="O68" s="29"/>
      <c r="P68" s="29">
        <f>O68</f>
        <v>0</v>
      </c>
      <c r="Q68" s="26">
        <f t="shared" si="28"/>
        <v>7.2</v>
      </c>
      <c r="R68" s="26">
        <v>4.5</v>
      </c>
      <c r="S68" s="26">
        <v>1.5</v>
      </c>
      <c r="T68" s="26">
        <v>1.2</v>
      </c>
      <c r="U68" s="20"/>
      <c r="V68" s="20"/>
    </row>
    <row r="69" spans="1:22" ht="15">
      <c r="A69" s="897"/>
      <c r="B69" s="905"/>
      <c r="C69" s="904"/>
      <c r="D69" s="27">
        <v>2011</v>
      </c>
      <c r="E69" s="26">
        <f t="shared" si="29"/>
        <v>15</v>
      </c>
      <c r="F69" s="26"/>
      <c r="G69" s="26"/>
      <c r="H69" s="26"/>
      <c r="I69" s="26">
        <v>15</v>
      </c>
      <c r="J69" s="26"/>
      <c r="K69" s="53"/>
      <c r="L69" s="903"/>
      <c r="M69" s="903"/>
      <c r="N69" s="26">
        <v>4</v>
      </c>
      <c r="O69" s="29">
        <v>50</v>
      </c>
      <c r="P69" s="29">
        <f>P68+O69</f>
        <v>50</v>
      </c>
      <c r="Q69" s="26">
        <f t="shared" si="28"/>
        <v>7.2</v>
      </c>
      <c r="R69" s="26">
        <v>4.5</v>
      </c>
      <c r="S69" s="26">
        <v>1.5</v>
      </c>
      <c r="T69" s="26">
        <v>1.2</v>
      </c>
      <c r="U69" s="20"/>
      <c r="V69" s="20"/>
    </row>
    <row r="70" spans="1:22" ht="15">
      <c r="A70" s="897"/>
      <c r="B70" s="905"/>
      <c r="C70" s="904"/>
      <c r="D70" s="27">
        <v>2012</v>
      </c>
      <c r="E70" s="26">
        <f t="shared" si="29"/>
        <v>15</v>
      </c>
      <c r="F70" s="26"/>
      <c r="G70" s="26"/>
      <c r="H70" s="26"/>
      <c r="I70" s="26">
        <v>15</v>
      </c>
      <c r="J70" s="26"/>
      <c r="K70" s="53"/>
      <c r="L70" s="903"/>
      <c r="M70" s="903"/>
      <c r="N70" s="26">
        <v>4</v>
      </c>
      <c r="O70" s="29">
        <v>50</v>
      </c>
      <c r="P70" s="29">
        <f>P69+O70</f>
        <v>100</v>
      </c>
      <c r="Q70" s="26">
        <f t="shared" si="28"/>
        <v>7.2</v>
      </c>
      <c r="R70" s="26">
        <v>4.5</v>
      </c>
      <c r="S70" s="26">
        <v>1.5</v>
      </c>
      <c r="T70" s="26">
        <v>1.2</v>
      </c>
      <c r="U70" s="20"/>
      <c r="V70" s="20"/>
    </row>
    <row r="71" spans="1:22" ht="15">
      <c r="A71" s="897"/>
      <c r="B71" s="905"/>
      <c r="C71" s="904"/>
      <c r="D71" s="27">
        <v>2013</v>
      </c>
      <c r="E71" s="26">
        <f t="shared" si="29"/>
        <v>0</v>
      </c>
      <c r="F71" s="26"/>
      <c r="G71" s="26"/>
      <c r="H71" s="26"/>
      <c r="I71" s="26"/>
      <c r="J71" s="26"/>
      <c r="K71" s="53"/>
      <c r="L71" s="903"/>
      <c r="M71" s="903"/>
      <c r="N71" s="26">
        <v>4</v>
      </c>
      <c r="O71" s="29">
        <v>0</v>
      </c>
      <c r="P71" s="29">
        <f>P70+O71</f>
        <v>100</v>
      </c>
      <c r="Q71" s="26">
        <f t="shared" si="28"/>
        <v>7.2</v>
      </c>
      <c r="R71" s="26">
        <v>4.5</v>
      </c>
      <c r="S71" s="26">
        <v>1.5</v>
      </c>
      <c r="T71" s="26">
        <v>1.2</v>
      </c>
      <c r="U71" s="20"/>
      <c r="V71" s="20"/>
    </row>
    <row r="72" spans="1:22" ht="15">
      <c r="A72" s="897"/>
      <c r="B72" s="905"/>
      <c r="C72" s="904"/>
      <c r="D72" s="27">
        <v>2014</v>
      </c>
      <c r="E72" s="26">
        <f t="shared" si="29"/>
        <v>0</v>
      </c>
      <c r="F72" s="26"/>
      <c r="G72" s="26"/>
      <c r="H72" s="26"/>
      <c r="I72" s="26"/>
      <c r="J72" s="26"/>
      <c r="K72" s="53"/>
      <c r="L72" s="903"/>
      <c r="M72" s="903"/>
      <c r="N72" s="26">
        <v>4</v>
      </c>
      <c r="O72" s="29">
        <v>0</v>
      </c>
      <c r="P72" s="29">
        <f>P71+O72</f>
        <v>100</v>
      </c>
      <c r="Q72" s="26">
        <f t="shared" si="28"/>
        <v>7.2</v>
      </c>
      <c r="R72" s="26">
        <v>4.5</v>
      </c>
      <c r="S72" s="26">
        <v>1.5</v>
      </c>
      <c r="T72" s="26">
        <v>1.2</v>
      </c>
      <c r="U72" s="20"/>
      <c r="V72" s="20"/>
    </row>
    <row r="73" spans="1:20" ht="15" hidden="1">
      <c r="A73" s="901" t="s">
        <v>127</v>
      </c>
      <c r="B73" s="901"/>
      <c r="C73" s="901"/>
      <c r="D73" s="901"/>
      <c r="E73" s="901"/>
      <c r="F73" s="901"/>
      <c r="G73" s="901"/>
      <c r="H73" s="901"/>
      <c r="I73" s="901"/>
      <c r="J73" s="901"/>
      <c r="K73" s="901"/>
      <c r="L73" s="901"/>
      <c r="M73" s="901"/>
      <c r="N73" s="901"/>
      <c r="O73" s="901"/>
      <c r="P73" s="901"/>
      <c r="Q73" s="901"/>
      <c r="R73" s="901"/>
      <c r="S73" s="901"/>
      <c r="T73" s="901"/>
    </row>
    <row r="74" spans="1:20" ht="15" hidden="1">
      <c r="A74" s="902"/>
      <c r="B74" s="895" t="s">
        <v>646</v>
      </c>
      <c r="C74" s="895"/>
      <c r="D74" s="41">
        <v>2010</v>
      </c>
      <c r="E74" s="52">
        <v>0</v>
      </c>
      <c r="F74" s="52">
        <v>0</v>
      </c>
      <c r="G74" s="52">
        <v>0</v>
      </c>
      <c r="H74" s="52">
        <v>0</v>
      </c>
      <c r="I74" s="52">
        <v>0</v>
      </c>
      <c r="J74" s="52">
        <v>0</v>
      </c>
      <c r="K74" s="52">
        <v>0</v>
      </c>
      <c r="L74" s="875"/>
      <c r="M74" s="875"/>
      <c r="N74" s="52">
        <v>0</v>
      </c>
      <c r="O74" s="52">
        <v>0</v>
      </c>
      <c r="P74" s="52">
        <v>0</v>
      </c>
      <c r="Q74" s="52">
        <v>0</v>
      </c>
      <c r="R74" s="52">
        <v>0</v>
      </c>
      <c r="S74" s="52">
        <v>0</v>
      </c>
      <c r="T74" s="52">
        <v>0</v>
      </c>
    </row>
    <row r="75" spans="1:20" ht="15" hidden="1">
      <c r="A75" s="902"/>
      <c r="B75" s="895"/>
      <c r="C75" s="895"/>
      <c r="D75" s="41">
        <v>2011</v>
      </c>
      <c r="E75" s="52">
        <v>0</v>
      </c>
      <c r="F75" s="52">
        <v>0</v>
      </c>
      <c r="G75" s="52">
        <v>0</v>
      </c>
      <c r="H75" s="52">
        <v>0</v>
      </c>
      <c r="I75" s="52">
        <v>0</v>
      </c>
      <c r="J75" s="52">
        <v>0</v>
      </c>
      <c r="K75" s="52">
        <v>0</v>
      </c>
      <c r="L75" s="875"/>
      <c r="M75" s="875"/>
      <c r="N75" s="52">
        <v>0</v>
      </c>
      <c r="O75" s="52">
        <v>0</v>
      </c>
      <c r="P75" s="52">
        <v>0</v>
      </c>
      <c r="Q75" s="52">
        <v>0</v>
      </c>
      <c r="R75" s="52">
        <v>0</v>
      </c>
      <c r="S75" s="52">
        <v>0</v>
      </c>
      <c r="T75" s="52">
        <v>0</v>
      </c>
    </row>
    <row r="76" spans="1:20" ht="15" hidden="1">
      <c r="A76" s="902"/>
      <c r="B76" s="895"/>
      <c r="C76" s="895"/>
      <c r="D76" s="42">
        <v>2012</v>
      </c>
      <c r="E76" s="52">
        <v>0</v>
      </c>
      <c r="F76" s="52">
        <v>0</v>
      </c>
      <c r="G76" s="52">
        <v>0</v>
      </c>
      <c r="H76" s="52">
        <v>0</v>
      </c>
      <c r="I76" s="52">
        <v>0</v>
      </c>
      <c r="J76" s="52">
        <v>0</v>
      </c>
      <c r="K76" s="52">
        <v>0</v>
      </c>
      <c r="L76" s="875"/>
      <c r="M76" s="875"/>
      <c r="N76" s="52">
        <v>0</v>
      </c>
      <c r="O76" s="52">
        <v>0</v>
      </c>
      <c r="P76" s="52">
        <v>0</v>
      </c>
      <c r="Q76" s="52">
        <v>0</v>
      </c>
      <c r="R76" s="52">
        <v>0</v>
      </c>
      <c r="S76" s="52">
        <v>0</v>
      </c>
      <c r="T76" s="52">
        <v>0</v>
      </c>
    </row>
    <row r="77" spans="1:20" ht="15" hidden="1">
      <c r="A77" s="902"/>
      <c r="B77" s="895"/>
      <c r="C77" s="895"/>
      <c r="D77" s="42">
        <v>2013</v>
      </c>
      <c r="E77" s="52">
        <v>0</v>
      </c>
      <c r="F77" s="52">
        <v>0</v>
      </c>
      <c r="G77" s="52">
        <v>0</v>
      </c>
      <c r="H77" s="52">
        <v>0</v>
      </c>
      <c r="I77" s="52">
        <v>0</v>
      </c>
      <c r="J77" s="52">
        <v>0</v>
      </c>
      <c r="K77" s="52">
        <v>0</v>
      </c>
      <c r="L77" s="875"/>
      <c r="M77" s="875"/>
      <c r="N77" s="52">
        <v>0</v>
      </c>
      <c r="O77" s="52">
        <v>0</v>
      </c>
      <c r="P77" s="52">
        <v>0</v>
      </c>
      <c r="Q77" s="52">
        <v>0</v>
      </c>
      <c r="R77" s="52">
        <v>0</v>
      </c>
      <c r="S77" s="52">
        <v>0</v>
      </c>
      <c r="T77" s="52">
        <v>0</v>
      </c>
    </row>
    <row r="78" spans="1:20" ht="15" hidden="1">
      <c r="A78" s="902"/>
      <c r="B78" s="895"/>
      <c r="C78" s="895"/>
      <c r="D78" s="42">
        <v>2014</v>
      </c>
      <c r="E78" s="52">
        <v>0</v>
      </c>
      <c r="F78" s="52">
        <v>0</v>
      </c>
      <c r="G78" s="52">
        <v>0</v>
      </c>
      <c r="H78" s="52">
        <v>0</v>
      </c>
      <c r="I78" s="52">
        <v>0</v>
      </c>
      <c r="J78" s="52">
        <v>0</v>
      </c>
      <c r="K78" s="52">
        <v>0</v>
      </c>
      <c r="L78" s="875"/>
      <c r="M78" s="875"/>
      <c r="N78" s="52">
        <v>0</v>
      </c>
      <c r="O78" s="52">
        <v>0</v>
      </c>
      <c r="P78" s="52">
        <v>0</v>
      </c>
      <c r="Q78" s="52">
        <v>0</v>
      </c>
      <c r="R78" s="52">
        <v>0</v>
      </c>
      <c r="S78" s="52">
        <v>0</v>
      </c>
      <c r="T78" s="52">
        <v>0</v>
      </c>
    </row>
    <row r="79" spans="1:20" ht="15" hidden="1">
      <c r="A79" s="902"/>
      <c r="B79" s="895"/>
      <c r="C79" s="895"/>
      <c r="D79" s="41" t="s">
        <v>378</v>
      </c>
      <c r="E79" s="52">
        <f>SUM(E74:E78)</f>
        <v>0</v>
      </c>
      <c r="F79" s="52">
        <f aca="true" t="shared" si="32" ref="F79:K79">SUM(F74:F78)</f>
        <v>0</v>
      </c>
      <c r="G79" s="52">
        <f t="shared" si="32"/>
        <v>0</v>
      </c>
      <c r="H79" s="52">
        <f t="shared" si="32"/>
        <v>0</v>
      </c>
      <c r="I79" s="52">
        <f t="shared" si="32"/>
        <v>0</v>
      </c>
      <c r="J79" s="52">
        <f t="shared" si="32"/>
        <v>0</v>
      </c>
      <c r="K79" s="52">
        <f t="shared" si="32"/>
        <v>0</v>
      </c>
      <c r="L79" s="875"/>
      <c r="M79" s="875"/>
      <c r="N79" s="52">
        <f aca="true" t="shared" si="33" ref="N79:T79">SUM(N74:N78)</f>
        <v>0</v>
      </c>
      <c r="O79" s="52">
        <f t="shared" si="33"/>
        <v>0</v>
      </c>
      <c r="P79" s="52">
        <f t="shared" si="33"/>
        <v>0</v>
      </c>
      <c r="Q79" s="52">
        <f t="shared" si="33"/>
        <v>0</v>
      </c>
      <c r="R79" s="52">
        <f t="shared" si="33"/>
        <v>0</v>
      </c>
      <c r="S79" s="52">
        <f t="shared" si="33"/>
        <v>0</v>
      </c>
      <c r="T79" s="52">
        <f t="shared" si="33"/>
        <v>0</v>
      </c>
    </row>
    <row r="80" spans="1:20" ht="15" hidden="1">
      <c r="A80" s="901"/>
      <c r="B80" s="901"/>
      <c r="C80" s="901"/>
      <c r="D80" s="901"/>
      <c r="E80" s="901"/>
      <c r="F80" s="901"/>
      <c r="G80" s="901"/>
      <c r="H80" s="901"/>
      <c r="I80" s="901"/>
      <c r="J80" s="901"/>
      <c r="K80" s="901"/>
      <c r="L80" s="901"/>
      <c r="M80" s="901"/>
      <c r="N80" s="901"/>
      <c r="O80" s="901"/>
      <c r="P80" s="901"/>
      <c r="Q80" s="901"/>
      <c r="R80" s="901"/>
      <c r="S80" s="901"/>
      <c r="T80" s="901"/>
    </row>
    <row r="81" spans="1:20" ht="15.75">
      <c r="A81" s="894" t="s">
        <v>178</v>
      </c>
      <c r="B81" s="894"/>
      <c r="C81" s="894"/>
      <c r="D81" s="894"/>
      <c r="E81" s="894"/>
      <c r="F81" s="894"/>
      <c r="G81" s="894"/>
      <c r="H81" s="894"/>
      <c r="I81" s="894"/>
      <c r="J81" s="894"/>
      <c r="K81" s="894"/>
      <c r="L81" s="894"/>
      <c r="M81" s="894"/>
      <c r="N81" s="894"/>
      <c r="O81" s="894"/>
      <c r="P81" s="894"/>
      <c r="Q81" s="894"/>
      <c r="R81" s="894"/>
      <c r="S81" s="894"/>
      <c r="T81" s="894"/>
    </row>
    <row r="82" spans="1:20" ht="15">
      <c r="A82" s="873"/>
      <c r="B82" s="895" t="s">
        <v>646</v>
      </c>
      <c r="C82" s="895"/>
      <c r="D82" s="41">
        <v>2010</v>
      </c>
      <c r="E82" s="52">
        <f aca="true" t="shared" si="34" ref="E82:E87">E89+E96+E109</f>
        <v>0</v>
      </c>
      <c r="F82" s="52">
        <f aca="true" t="shared" si="35" ref="F82:K82">F89+F96+F109</f>
        <v>0</v>
      </c>
      <c r="G82" s="52">
        <f t="shared" si="35"/>
        <v>0</v>
      </c>
      <c r="H82" s="52">
        <f t="shared" si="35"/>
        <v>0</v>
      </c>
      <c r="I82" s="52">
        <f t="shared" si="35"/>
        <v>0</v>
      </c>
      <c r="J82" s="52">
        <f t="shared" si="35"/>
        <v>0</v>
      </c>
      <c r="K82" s="52">
        <f t="shared" si="35"/>
        <v>0</v>
      </c>
      <c r="L82" s="875"/>
      <c r="M82" s="875"/>
      <c r="N82" s="82">
        <f aca="true" t="shared" si="36" ref="N82:O87">N89+N96+N109</f>
        <v>0</v>
      </c>
      <c r="O82" s="82">
        <f t="shared" si="36"/>
        <v>8</v>
      </c>
      <c r="P82" s="82"/>
      <c r="Q82" s="52">
        <f aca="true" t="shared" si="37" ref="Q82:T87">Q89+Q96+Q109</f>
        <v>0.26208000000000004</v>
      </c>
      <c r="R82" s="52">
        <f t="shared" si="37"/>
        <v>0</v>
      </c>
      <c r="S82" s="52">
        <f t="shared" si="37"/>
        <v>0.183456</v>
      </c>
      <c r="T82" s="52">
        <f t="shared" si="37"/>
        <v>0.07862400000000001</v>
      </c>
    </row>
    <row r="83" spans="1:20" ht="15">
      <c r="A83" s="873"/>
      <c r="B83" s="895"/>
      <c r="C83" s="895"/>
      <c r="D83" s="41">
        <v>2011</v>
      </c>
      <c r="E83" s="52">
        <f t="shared" si="34"/>
        <v>0.8</v>
      </c>
      <c r="F83" s="52">
        <f aca="true" t="shared" si="38" ref="F83:K83">F90+F97+F110</f>
        <v>0</v>
      </c>
      <c r="G83" s="52">
        <f t="shared" si="38"/>
        <v>0</v>
      </c>
      <c r="H83" s="52">
        <f t="shared" si="38"/>
        <v>0.8</v>
      </c>
      <c r="I83" s="52">
        <f t="shared" si="38"/>
        <v>0</v>
      </c>
      <c r="J83" s="52">
        <f t="shared" si="38"/>
        <v>0</v>
      </c>
      <c r="K83" s="52">
        <f t="shared" si="38"/>
        <v>0</v>
      </c>
      <c r="L83" s="875"/>
      <c r="M83" s="875"/>
      <c r="N83" s="82">
        <f t="shared" si="36"/>
        <v>0</v>
      </c>
      <c r="O83" s="82">
        <f t="shared" si="36"/>
        <v>0</v>
      </c>
      <c r="P83" s="82"/>
      <c r="Q83" s="52">
        <f t="shared" si="37"/>
        <v>0.072</v>
      </c>
      <c r="R83" s="52">
        <f t="shared" si="37"/>
        <v>0.072</v>
      </c>
      <c r="S83" s="52">
        <f t="shared" si="37"/>
        <v>0</v>
      </c>
      <c r="T83" s="52">
        <f t="shared" si="37"/>
        <v>0</v>
      </c>
    </row>
    <row r="84" spans="1:20" ht="15">
      <c r="A84" s="873"/>
      <c r="B84" s="895"/>
      <c r="C84" s="895"/>
      <c r="D84" s="42">
        <v>2012</v>
      </c>
      <c r="E84" s="52">
        <f t="shared" si="34"/>
        <v>1.7</v>
      </c>
      <c r="F84" s="52">
        <f aca="true" t="shared" si="39" ref="F84:K87">F91+F98+F111</f>
        <v>0</v>
      </c>
      <c r="G84" s="52">
        <f t="shared" si="39"/>
        <v>0</v>
      </c>
      <c r="H84" s="52">
        <f t="shared" si="39"/>
        <v>1.7</v>
      </c>
      <c r="I84" s="52">
        <f t="shared" si="39"/>
        <v>0</v>
      </c>
      <c r="J84" s="52">
        <f t="shared" si="39"/>
        <v>0</v>
      </c>
      <c r="K84" s="52">
        <f t="shared" si="39"/>
        <v>0</v>
      </c>
      <c r="L84" s="875"/>
      <c r="M84" s="875"/>
      <c r="N84" s="82">
        <f t="shared" si="36"/>
        <v>0</v>
      </c>
      <c r="O84" s="82">
        <f t="shared" si="36"/>
        <v>0</v>
      </c>
      <c r="P84" s="82"/>
      <c r="Q84" s="52">
        <f t="shared" si="37"/>
        <v>0.153</v>
      </c>
      <c r="R84" s="52">
        <f t="shared" si="37"/>
        <v>0.153</v>
      </c>
      <c r="S84" s="52">
        <f t="shared" si="37"/>
        <v>0</v>
      </c>
      <c r="T84" s="52">
        <f t="shared" si="37"/>
        <v>0</v>
      </c>
    </row>
    <row r="85" spans="1:20" ht="15">
      <c r="A85" s="873"/>
      <c r="B85" s="895"/>
      <c r="C85" s="895"/>
      <c r="D85" s="42">
        <v>2013</v>
      </c>
      <c r="E85" s="52">
        <f t="shared" si="34"/>
        <v>0</v>
      </c>
      <c r="F85" s="52">
        <f t="shared" si="39"/>
        <v>0</v>
      </c>
      <c r="G85" s="52">
        <f t="shared" si="39"/>
        <v>0</v>
      </c>
      <c r="H85" s="52">
        <f t="shared" si="39"/>
        <v>0</v>
      </c>
      <c r="I85" s="52">
        <f t="shared" si="39"/>
        <v>0</v>
      </c>
      <c r="J85" s="52">
        <f t="shared" si="39"/>
        <v>0</v>
      </c>
      <c r="K85" s="52">
        <f t="shared" si="39"/>
        <v>0</v>
      </c>
      <c r="L85" s="875"/>
      <c r="M85" s="875"/>
      <c r="N85" s="82">
        <f t="shared" si="36"/>
        <v>0</v>
      </c>
      <c r="O85" s="82">
        <f t="shared" si="36"/>
        <v>0</v>
      </c>
      <c r="P85" s="82"/>
      <c r="Q85" s="52">
        <f t="shared" si="37"/>
        <v>0</v>
      </c>
      <c r="R85" s="52">
        <f t="shared" si="37"/>
        <v>0</v>
      </c>
      <c r="S85" s="52">
        <f t="shared" si="37"/>
        <v>0</v>
      </c>
      <c r="T85" s="52">
        <f t="shared" si="37"/>
        <v>0</v>
      </c>
    </row>
    <row r="86" spans="1:20" ht="15">
      <c r="A86" s="873"/>
      <c r="B86" s="895"/>
      <c r="C86" s="895"/>
      <c r="D86" s="42">
        <v>2014</v>
      </c>
      <c r="E86" s="52">
        <f t="shared" si="34"/>
        <v>0</v>
      </c>
      <c r="F86" s="52">
        <f t="shared" si="39"/>
        <v>0</v>
      </c>
      <c r="G86" s="52">
        <f t="shared" si="39"/>
        <v>0</v>
      </c>
      <c r="H86" s="52">
        <f t="shared" si="39"/>
        <v>0</v>
      </c>
      <c r="I86" s="52">
        <f t="shared" si="39"/>
        <v>0</v>
      </c>
      <c r="J86" s="52">
        <f t="shared" si="39"/>
        <v>0</v>
      </c>
      <c r="K86" s="52">
        <f t="shared" si="39"/>
        <v>0</v>
      </c>
      <c r="L86" s="875"/>
      <c r="M86" s="875"/>
      <c r="N86" s="82">
        <f t="shared" si="36"/>
        <v>0</v>
      </c>
      <c r="O86" s="82">
        <f t="shared" si="36"/>
        <v>0</v>
      </c>
      <c r="P86" s="82"/>
      <c r="Q86" s="52">
        <f t="shared" si="37"/>
        <v>0</v>
      </c>
      <c r="R86" s="52">
        <f t="shared" si="37"/>
        <v>0</v>
      </c>
      <c r="S86" s="52">
        <f t="shared" si="37"/>
        <v>0</v>
      </c>
      <c r="T86" s="52">
        <f t="shared" si="37"/>
        <v>0</v>
      </c>
    </row>
    <row r="87" spans="1:20" ht="15">
      <c r="A87" s="873"/>
      <c r="B87" s="895"/>
      <c r="C87" s="895"/>
      <c r="D87" s="41" t="s">
        <v>378</v>
      </c>
      <c r="E87" s="52">
        <f t="shared" si="34"/>
        <v>2.5</v>
      </c>
      <c r="F87" s="52">
        <f t="shared" si="39"/>
        <v>0</v>
      </c>
      <c r="G87" s="52">
        <f t="shared" si="39"/>
        <v>0</v>
      </c>
      <c r="H87" s="52">
        <f t="shared" si="39"/>
        <v>2.5</v>
      </c>
      <c r="I87" s="52">
        <f t="shared" si="39"/>
        <v>0</v>
      </c>
      <c r="J87" s="52">
        <f t="shared" si="39"/>
        <v>0</v>
      </c>
      <c r="K87" s="52">
        <f t="shared" si="39"/>
        <v>0</v>
      </c>
      <c r="L87" s="875"/>
      <c r="M87" s="875"/>
      <c r="N87" s="82">
        <f t="shared" si="36"/>
        <v>0</v>
      </c>
      <c r="O87" s="82">
        <f t="shared" si="36"/>
        <v>8</v>
      </c>
      <c r="P87" s="82"/>
      <c r="Q87" s="52">
        <f t="shared" si="37"/>
        <v>0.48708000000000007</v>
      </c>
      <c r="R87" s="52">
        <f t="shared" si="37"/>
        <v>0.22499999999999998</v>
      </c>
      <c r="S87" s="52">
        <f t="shared" si="37"/>
        <v>0.183456</v>
      </c>
      <c r="T87" s="52">
        <f t="shared" si="37"/>
        <v>0.07862400000000001</v>
      </c>
    </row>
    <row r="88" spans="1:20" ht="15">
      <c r="A88" s="881" t="s">
        <v>179</v>
      </c>
      <c r="B88" s="881"/>
      <c r="C88" s="881"/>
      <c r="D88" s="881"/>
      <c r="E88" s="881"/>
      <c r="F88" s="881"/>
      <c r="G88" s="881"/>
      <c r="H88" s="881"/>
      <c r="I88" s="881"/>
      <c r="J88" s="881"/>
      <c r="K88" s="881"/>
      <c r="L88" s="881"/>
      <c r="M88" s="881"/>
      <c r="N88" s="881"/>
      <c r="O88" s="881"/>
      <c r="P88" s="881"/>
      <c r="Q88" s="881"/>
      <c r="R88" s="881"/>
      <c r="S88" s="881"/>
      <c r="T88" s="881"/>
    </row>
    <row r="89" spans="1:20" ht="15">
      <c r="A89" s="888"/>
      <c r="B89" s="885" t="s">
        <v>647</v>
      </c>
      <c r="C89" s="885"/>
      <c r="D89" s="22">
        <v>2010</v>
      </c>
      <c r="E89" s="60">
        <v>0</v>
      </c>
      <c r="F89" s="60">
        <v>0</v>
      </c>
      <c r="G89" s="60">
        <v>0</v>
      </c>
      <c r="H89" s="60">
        <v>0</v>
      </c>
      <c r="I89" s="60">
        <v>0</v>
      </c>
      <c r="J89" s="60">
        <v>0</v>
      </c>
      <c r="K89" s="60">
        <v>0</v>
      </c>
      <c r="L89" s="889"/>
      <c r="M89" s="889"/>
      <c r="N89" s="102">
        <v>0</v>
      </c>
      <c r="O89" s="102">
        <v>0</v>
      </c>
      <c r="P89" s="102">
        <v>0</v>
      </c>
      <c r="Q89" s="102">
        <v>0</v>
      </c>
      <c r="R89" s="102">
        <v>0</v>
      </c>
      <c r="S89" s="102">
        <v>0</v>
      </c>
      <c r="T89" s="102">
        <v>0</v>
      </c>
    </row>
    <row r="90" spans="1:20" ht="15">
      <c r="A90" s="888"/>
      <c r="B90" s="885"/>
      <c r="C90" s="885"/>
      <c r="D90" s="22">
        <v>2011</v>
      </c>
      <c r="E90" s="60">
        <v>0</v>
      </c>
      <c r="F90" s="60">
        <v>0</v>
      </c>
      <c r="G90" s="60">
        <v>0</v>
      </c>
      <c r="H90" s="60">
        <v>0</v>
      </c>
      <c r="I90" s="60">
        <v>0</v>
      </c>
      <c r="J90" s="60">
        <v>0</v>
      </c>
      <c r="K90" s="60">
        <v>0</v>
      </c>
      <c r="L90" s="889"/>
      <c r="M90" s="889"/>
      <c r="N90" s="102">
        <v>0</v>
      </c>
      <c r="O90" s="102">
        <v>0</v>
      </c>
      <c r="P90" s="102">
        <v>0</v>
      </c>
      <c r="Q90" s="102">
        <v>0</v>
      </c>
      <c r="R90" s="102">
        <v>0</v>
      </c>
      <c r="S90" s="102">
        <v>0</v>
      </c>
      <c r="T90" s="102">
        <v>0</v>
      </c>
    </row>
    <row r="91" spans="1:20" ht="15">
      <c r="A91" s="888"/>
      <c r="B91" s="885"/>
      <c r="C91" s="885"/>
      <c r="D91" s="22">
        <v>2012</v>
      </c>
      <c r="E91" s="60">
        <v>0</v>
      </c>
      <c r="F91" s="60">
        <v>0</v>
      </c>
      <c r="G91" s="60">
        <v>0</v>
      </c>
      <c r="H91" s="60">
        <v>0</v>
      </c>
      <c r="I91" s="60">
        <v>0</v>
      </c>
      <c r="J91" s="60">
        <v>0</v>
      </c>
      <c r="K91" s="60">
        <v>0</v>
      </c>
      <c r="L91" s="889"/>
      <c r="M91" s="889"/>
      <c r="N91" s="102">
        <v>0</v>
      </c>
      <c r="O91" s="102">
        <v>0</v>
      </c>
      <c r="P91" s="102">
        <v>0</v>
      </c>
      <c r="Q91" s="102">
        <v>0</v>
      </c>
      <c r="R91" s="102">
        <v>0</v>
      </c>
      <c r="S91" s="102">
        <v>0</v>
      </c>
      <c r="T91" s="102">
        <v>0</v>
      </c>
    </row>
    <row r="92" spans="1:20" ht="15">
      <c r="A92" s="888"/>
      <c r="B92" s="885"/>
      <c r="C92" s="885"/>
      <c r="D92" s="22">
        <v>2013</v>
      </c>
      <c r="E92" s="60">
        <v>0</v>
      </c>
      <c r="F92" s="60">
        <v>0</v>
      </c>
      <c r="G92" s="60">
        <v>0</v>
      </c>
      <c r="H92" s="60">
        <v>0</v>
      </c>
      <c r="I92" s="60">
        <v>0</v>
      </c>
      <c r="J92" s="60">
        <v>0</v>
      </c>
      <c r="K92" s="60">
        <v>0</v>
      </c>
      <c r="L92" s="889"/>
      <c r="M92" s="889"/>
      <c r="N92" s="102">
        <v>0</v>
      </c>
      <c r="O92" s="102">
        <v>0</v>
      </c>
      <c r="P92" s="102">
        <v>0</v>
      </c>
      <c r="Q92" s="102">
        <v>0</v>
      </c>
      <c r="R92" s="102">
        <v>0</v>
      </c>
      <c r="S92" s="102">
        <v>0</v>
      </c>
      <c r="T92" s="102">
        <v>0</v>
      </c>
    </row>
    <row r="93" spans="1:20" ht="15">
      <c r="A93" s="888"/>
      <c r="B93" s="885"/>
      <c r="C93" s="885"/>
      <c r="D93" s="22">
        <v>2014</v>
      </c>
      <c r="E93" s="60">
        <v>0</v>
      </c>
      <c r="F93" s="60">
        <v>0</v>
      </c>
      <c r="G93" s="60">
        <v>0</v>
      </c>
      <c r="H93" s="60">
        <v>0</v>
      </c>
      <c r="I93" s="60">
        <v>0</v>
      </c>
      <c r="J93" s="60">
        <v>0</v>
      </c>
      <c r="K93" s="60">
        <v>0</v>
      </c>
      <c r="L93" s="889"/>
      <c r="M93" s="889"/>
      <c r="N93" s="102">
        <v>0</v>
      </c>
      <c r="O93" s="102">
        <v>0</v>
      </c>
      <c r="P93" s="102">
        <v>0</v>
      </c>
      <c r="Q93" s="102">
        <v>0</v>
      </c>
      <c r="R93" s="102">
        <v>0</v>
      </c>
      <c r="S93" s="102">
        <v>0</v>
      </c>
      <c r="T93" s="102">
        <v>0</v>
      </c>
    </row>
    <row r="94" spans="1:20" ht="15">
      <c r="A94" s="888"/>
      <c r="B94" s="885"/>
      <c r="C94" s="885"/>
      <c r="D94" s="22" t="s">
        <v>378</v>
      </c>
      <c r="E94" s="60">
        <f>SUM(E89:E93)</f>
        <v>0</v>
      </c>
      <c r="F94" s="60">
        <f aca="true" t="shared" si="40" ref="F94:K94">SUM(F89:F93)</f>
        <v>0</v>
      </c>
      <c r="G94" s="60">
        <f t="shared" si="40"/>
        <v>0</v>
      </c>
      <c r="H94" s="60">
        <f t="shared" si="40"/>
        <v>0</v>
      </c>
      <c r="I94" s="60">
        <f t="shared" si="40"/>
        <v>0</v>
      </c>
      <c r="J94" s="60">
        <f t="shared" si="40"/>
        <v>0</v>
      </c>
      <c r="K94" s="60">
        <f t="shared" si="40"/>
        <v>0</v>
      </c>
      <c r="L94" s="889"/>
      <c r="M94" s="889"/>
      <c r="N94" s="102">
        <f aca="true" t="shared" si="41" ref="N94:T94">SUM(N89:N93)</f>
        <v>0</v>
      </c>
      <c r="O94" s="102">
        <f t="shared" si="41"/>
        <v>0</v>
      </c>
      <c r="P94" s="102"/>
      <c r="Q94" s="60">
        <f t="shared" si="41"/>
        <v>0</v>
      </c>
      <c r="R94" s="60">
        <f t="shared" si="41"/>
        <v>0</v>
      </c>
      <c r="S94" s="60">
        <f t="shared" si="41"/>
        <v>0</v>
      </c>
      <c r="T94" s="60">
        <f t="shared" si="41"/>
        <v>0</v>
      </c>
    </row>
    <row r="95" spans="1:20" ht="15">
      <c r="A95" s="881" t="s">
        <v>180</v>
      </c>
      <c r="B95" s="881"/>
      <c r="C95" s="881"/>
      <c r="D95" s="881"/>
      <c r="E95" s="881"/>
      <c r="F95" s="881"/>
      <c r="G95" s="881"/>
      <c r="H95" s="881"/>
      <c r="I95" s="881"/>
      <c r="J95" s="881"/>
      <c r="K95" s="881"/>
      <c r="L95" s="881"/>
      <c r="M95" s="881"/>
      <c r="N95" s="881"/>
      <c r="O95" s="881"/>
      <c r="P95" s="881"/>
      <c r="Q95" s="881"/>
      <c r="R95" s="881"/>
      <c r="S95" s="881"/>
      <c r="T95" s="881"/>
    </row>
    <row r="96" spans="1:20" ht="15">
      <c r="A96" s="888"/>
      <c r="B96" s="885" t="s">
        <v>647</v>
      </c>
      <c r="C96" s="885"/>
      <c r="D96" s="22">
        <v>2010</v>
      </c>
      <c r="E96" s="60">
        <f>E103</f>
        <v>0</v>
      </c>
      <c r="F96" s="60">
        <f aca="true" t="shared" si="42" ref="F96:K96">F103</f>
        <v>0</v>
      </c>
      <c r="G96" s="60">
        <f t="shared" si="42"/>
        <v>0</v>
      </c>
      <c r="H96" s="60">
        <f t="shared" si="42"/>
        <v>0</v>
      </c>
      <c r="I96" s="60">
        <f t="shared" si="42"/>
        <v>0</v>
      </c>
      <c r="J96" s="60">
        <f t="shared" si="42"/>
        <v>0</v>
      </c>
      <c r="K96" s="60">
        <f t="shared" si="42"/>
        <v>0</v>
      </c>
      <c r="L96" s="889"/>
      <c r="M96" s="889"/>
      <c r="N96" s="60">
        <f>N103</f>
        <v>0</v>
      </c>
      <c r="O96" s="60">
        <f aca="true" t="shared" si="43" ref="O96:T96">O103</f>
        <v>8</v>
      </c>
      <c r="P96" s="60">
        <f t="shared" si="43"/>
        <v>0</v>
      </c>
      <c r="Q96" s="60">
        <f t="shared" si="43"/>
        <v>0.26208000000000004</v>
      </c>
      <c r="R96" s="60">
        <f t="shared" si="43"/>
        <v>0</v>
      </c>
      <c r="S96" s="60">
        <f t="shared" si="43"/>
        <v>0.183456</v>
      </c>
      <c r="T96" s="60">
        <f t="shared" si="43"/>
        <v>0.07862400000000001</v>
      </c>
    </row>
    <row r="97" spans="1:20" ht="15">
      <c r="A97" s="888"/>
      <c r="B97" s="885"/>
      <c r="C97" s="885"/>
      <c r="D97" s="22">
        <v>2011</v>
      </c>
      <c r="E97" s="60">
        <f aca="true" t="shared" si="44" ref="E97:K100">E104</f>
        <v>0.8</v>
      </c>
      <c r="F97" s="60">
        <f t="shared" si="44"/>
        <v>0</v>
      </c>
      <c r="G97" s="60">
        <f t="shared" si="44"/>
        <v>0</v>
      </c>
      <c r="H97" s="60">
        <f t="shared" si="44"/>
        <v>0.8</v>
      </c>
      <c r="I97" s="60">
        <f t="shared" si="44"/>
        <v>0</v>
      </c>
      <c r="J97" s="60">
        <f t="shared" si="44"/>
        <v>0</v>
      </c>
      <c r="K97" s="60">
        <f t="shared" si="44"/>
        <v>0</v>
      </c>
      <c r="L97" s="889"/>
      <c r="M97" s="889"/>
      <c r="N97" s="60">
        <f aca="true" t="shared" si="45" ref="N97:T100">N104</f>
        <v>0</v>
      </c>
      <c r="O97" s="60">
        <f t="shared" si="45"/>
        <v>0</v>
      </c>
      <c r="P97" s="60">
        <f t="shared" si="45"/>
        <v>0</v>
      </c>
      <c r="Q97" s="60">
        <f t="shared" si="45"/>
        <v>0.072</v>
      </c>
      <c r="R97" s="60">
        <f t="shared" si="45"/>
        <v>0.072</v>
      </c>
      <c r="S97" s="60">
        <f t="shared" si="45"/>
        <v>0</v>
      </c>
      <c r="T97" s="60">
        <f t="shared" si="45"/>
        <v>0</v>
      </c>
    </row>
    <row r="98" spans="1:20" ht="15">
      <c r="A98" s="888"/>
      <c r="B98" s="885"/>
      <c r="C98" s="885"/>
      <c r="D98" s="22">
        <v>2012</v>
      </c>
      <c r="E98" s="60">
        <f t="shared" si="44"/>
        <v>1.7</v>
      </c>
      <c r="F98" s="60">
        <f t="shared" si="44"/>
        <v>0</v>
      </c>
      <c r="G98" s="60">
        <f t="shared" si="44"/>
        <v>0</v>
      </c>
      <c r="H98" s="60">
        <f t="shared" si="44"/>
        <v>1.7</v>
      </c>
      <c r="I98" s="60">
        <f t="shared" si="44"/>
        <v>0</v>
      </c>
      <c r="J98" s="60">
        <f t="shared" si="44"/>
        <v>0</v>
      </c>
      <c r="K98" s="60">
        <f t="shared" si="44"/>
        <v>0</v>
      </c>
      <c r="L98" s="889"/>
      <c r="M98" s="889"/>
      <c r="N98" s="60">
        <f t="shared" si="45"/>
        <v>0</v>
      </c>
      <c r="O98" s="60">
        <f t="shared" si="45"/>
        <v>0</v>
      </c>
      <c r="P98" s="60">
        <f t="shared" si="45"/>
        <v>0</v>
      </c>
      <c r="Q98" s="60">
        <f t="shared" si="45"/>
        <v>0.153</v>
      </c>
      <c r="R98" s="60">
        <f t="shared" si="45"/>
        <v>0.153</v>
      </c>
      <c r="S98" s="60">
        <f t="shared" si="45"/>
        <v>0</v>
      </c>
      <c r="T98" s="60">
        <f t="shared" si="45"/>
        <v>0</v>
      </c>
    </row>
    <row r="99" spans="1:20" ht="15">
      <c r="A99" s="888"/>
      <c r="B99" s="885"/>
      <c r="C99" s="885"/>
      <c r="D99" s="22">
        <v>2013</v>
      </c>
      <c r="E99" s="60">
        <f>E106</f>
        <v>0</v>
      </c>
      <c r="F99" s="60">
        <f aca="true" t="shared" si="46" ref="F99:K99">F106</f>
        <v>0</v>
      </c>
      <c r="G99" s="60">
        <f t="shared" si="46"/>
        <v>0</v>
      </c>
      <c r="H99" s="60">
        <f t="shared" si="46"/>
        <v>0</v>
      </c>
      <c r="I99" s="60">
        <f t="shared" si="46"/>
        <v>0</v>
      </c>
      <c r="J99" s="60">
        <f t="shared" si="46"/>
        <v>0</v>
      </c>
      <c r="K99" s="60">
        <f t="shared" si="46"/>
        <v>0</v>
      </c>
      <c r="L99" s="889"/>
      <c r="M99" s="889"/>
      <c r="N99" s="60">
        <f t="shared" si="45"/>
        <v>0</v>
      </c>
      <c r="O99" s="60">
        <f t="shared" si="45"/>
        <v>0</v>
      </c>
      <c r="P99" s="60">
        <f t="shared" si="45"/>
        <v>0</v>
      </c>
      <c r="Q99" s="60">
        <f t="shared" si="45"/>
        <v>0</v>
      </c>
      <c r="R99" s="60">
        <f t="shared" si="45"/>
        <v>0</v>
      </c>
      <c r="S99" s="60">
        <f t="shared" si="45"/>
        <v>0</v>
      </c>
      <c r="T99" s="60">
        <f t="shared" si="45"/>
        <v>0</v>
      </c>
    </row>
    <row r="100" spans="1:20" ht="15">
      <c r="A100" s="888"/>
      <c r="B100" s="885"/>
      <c r="C100" s="885"/>
      <c r="D100" s="22">
        <v>2014</v>
      </c>
      <c r="E100" s="60">
        <f t="shared" si="44"/>
        <v>0</v>
      </c>
      <c r="F100" s="60">
        <f t="shared" si="44"/>
        <v>0</v>
      </c>
      <c r="G100" s="60">
        <f t="shared" si="44"/>
        <v>0</v>
      </c>
      <c r="H100" s="60">
        <f t="shared" si="44"/>
        <v>0</v>
      </c>
      <c r="I100" s="60">
        <f t="shared" si="44"/>
        <v>0</v>
      </c>
      <c r="J100" s="60">
        <f t="shared" si="44"/>
        <v>0</v>
      </c>
      <c r="K100" s="60">
        <f t="shared" si="44"/>
        <v>0</v>
      </c>
      <c r="L100" s="889"/>
      <c r="M100" s="889"/>
      <c r="N100" s="60">
        <f t="shared" si="45"/>
        <v>0</v>
      </c>
      <c r="O100" s="60">
        <f t="shared" si="45"/>
        <v>0</v>
      </c>
      <c r="P100" s="60">
        <f t="shared" si="45"/>
        <v>0</v>
      </c>
      <c r="Q100" s="60">
        <f t="shared" si="45"/>
        <v>0</v>
      </c>
      <c r="R100" s="60">
        <f t="shared" si="45"/>
        <v>0</v>
      </c>
      <c r="S100" s="60">
        <f t="shared" si="45"/>
        <v>0</v>
      </c>
      <c r="T100" s="60">
        <f t="shared" si="45"/>
        <v>0</v>
      </c>
    </row>
    <row r="101" spans="1:20" ht="15">
      <c r="A101" s="888"/>
      <c r="B101" s="885"/>
      <c r="C101" s="885"/>
      <c r="D101" s="22" t="s">
        <v>378</v>
      </c>
      <c r="E101" s="60">
        <f>SUM(E96:E100)</f>
        <v>2.5</v>
      </c>
      <c r="F101" s="60">
        <f aca="true" t="shared" si="47" ref="F101:K101">SUM(F96:F100)</f>
        <v>0</v>
      </c>
      <c r="G101" s="60">
        <f t="shared" si="47"/>
        <v>0</v>
      </c>
      <c r="H101" s="60">
        <f t="shared" si="47"/>
        <v>2.5</v>
      </c>
      <c r="I101" s="60">
        <f t="shared" si="47"/>
        <v>0</v>
      </c>
      <c r="J101" s="60">
        <f t="shared" si="47"/>
        <v>0</v>
      </c>
      <c r="K101" s="60">
        <f t="shared" si="47"/>
        <v>0</v>
      </c>
      <c r="L101" s="889"/>
      <c r="M101" s="889"/>
      <c r="N101" s="60">
        <f aca="true" t="shared" si="48" ref="N101:T101">SUM(N96:N100)</f>
        <v>0</v>
      </c>
      <c r="O101" s="102">
        <f t="shared" si="48"/>
        <v>8</v>
      </c>
      <c r="P101" s="60"/>
      <c r="Q101" s="60">
        <f t="shared" si="48"/>
        <v>0.48708000000000007</v>
      </c>
      <c r="R101" s="60">
        <f t="shared" si="48"/>
        <v>0.22499999999999998</v>
      </c>
      <c r="S101" s="60">
        <f t="shared" si="48"/>
        <v>0.183456</v>
      </c>
      <c r="T101" s="60">
        <f t="shared" si="48"/>
        <v>0.07862400000000001</v>
      </c>
    </row>
    <row r="102" spans="1:20" ht="15">
      <c r="A102" s="866">
        <v>7</v>
      </c>
      <c r="B102" s="879" t="s">
        <v>531</v>
      </c>
      <c r="C102" s="880" t="s">
        <v>541</v>
      </c>
      <c r="D102" s="129" t="s">
        <v>570</v>
      </c>
      <c r="E102" s="57">
        <f aca="true" t="shared" si="49" ref="E102:K102">SUM(E103:E107)</f>
        <v>2.5</v>
      </c>
      <c r="F102" s="57">
        <f t="shared" si="49"/>
        <v>0</v>
      </c>
      <c r="G102" s="57">
        <f t="shared" si="49"/>
        <v>0</v>
      </c>
      <c r="H102" s="57">
        <f t="shared" si="49"/>
        <v>2.5</v>
      </c>
      <c r="I102" s="57">
        <f t="shared" si="49"/>
        <v>0</v>
      </c>
      <c r="J102" s="57">
        <f t="shared" si="49"/>
        <v>0</v>
      </c>
      <c r="K102" s="57">
        <f t="shared" si="49"/>
        <v>0</v>
      </c>
      <c r="L102" s="878" t="s">
        <v>463</v>
      </c>
      <c r="M102" s="878" t="s">
        <v>535</v>
      </c>
      <c r="N102" s="35"/>
      <c r="O102" s="87">
        <v>8</v>
      </c>
      <c r="P102" s="87"/>
      <c r="Q102" s="379">
        <f>SUM(Q103:Q107)</f>
        <v>0.48708000000000007</v>
      </c>
      <c r="R102" s="379">
        <f>SUM(R103:R107)</f>
        <v>0.22499999999999998</v>
      </c>
      <c r="S102" s="379">
        <f>SUM(S103:S107)</f>
        <v>0.183456</v>
      </c>
      <c r="T102" s="379">
        <f>SUM(T103:T107)</f>
        <v>0.07862400000000001</v>
      </c>
    </row>
    <row r="103" spans="1:20" ht="15">
      <c r="A103" s="866"/>
      <c r="B103" s="879"/>
      <c r="C103" s="880"/>
      <c r="D103" s="12">
        <v>2010</v>
      </c>
      <c r="E103" s="56">
        <f>SUM(F103:K103)</f>
        <v>0</v>
      </c>
      <c r="F103" s="46"/>
      <c r="G103" s="46"/>
      <c r="H103" s="46">
        <v>0</v>
      </c>
      <c r="I103" s="46"/>
      <c r="J103" s="46"/>
      <c r="K103" s="46"/>
      <c r="L103" s="878"/>
      <c r="M103" s="878"/>
      <c r="N103" s="16"/>
      <c r="O103" s="83">
        <v>8</v>
      </c>
      <c r="P103" s="83"/>
      <c r="Q103" s="58">
        <f>SUM(R103:T103)</f>
        <v>0.26208000000000004</v>
      </c>
      <c r="R103" s="34">
        <f>E103*0.5*0.18+N103*0.02</f>
        <v>0</v>
      </c>
      <c r="S103" s="34">
        <f>(N103*0.18+(O103*12*21/1000))*0.13*0.7</f>
        <v>0.183456</v>
      </c>
      <c r="T103" s="34">
        <f>(N103*0.18+(O103*12*21/1000))*0.13*0.3</f>
        <v>0.07862400000000001</v>
      </c>
    </row>
    <row r="104" spans="1:20" ht="15">
      <c r="A104" s="866"/>
      <c r="B104" s="879"/>
      <c r="C104" s="880"/>
      <c r="D104" s="12">
        <v>2011</v>
      </c>
      <c r="E104" s="56">
        <f>SUM(F104:K104)</f>
        <v>0.8</v>
      </c>
      <c r="F104" s="46"/>
      <c r="G104" s="46"/>
      <c r="H104" s="46">
        <v>0.8</v>
      </c>
      <c r="I104" s="46"/>
      <c r="J104" s="46"/>
      <c r="K104" s="46"/>
      <c r="L104" s="878"/>
      <c r="M104" s="878"/>
      <c r="N104" s="16"/>
      <c r="O104" s="83">
        <v>0</v>
      </c>
      <c r="P104" s="83"/>
      <c r="Q104" s="58">
        <f>SUM(R104:T104)</f>
        <v>0.072</v>
      </c>
      <c r="R104" s="34">
        <f>E104*0.5*0.18+N104*0.02</f>
        <v>0.072</v>
      </c>
      <c r="S104" s="34">
        <f>(N104*0.18+(O104*12*21/1000))*0.13*0.7</f>
        <v>0</v>
      </c>
      <c r="T104" s="34">
        <f>(N104*0.18+(O104*12*21/1000))*0.13*0.3</f>
        <v>0</v>
      </c>
    </row>
    <row r="105" spans="1:20" ht="15">
      <c r="A105" s="866"/>
      <c r="B105" s="879"/>
      <c r="C105" s="880"/>
      <c r="D105" s="12">
        <v>2012</v>
      </c>
      <c r="E105" s="56">
        <f>SUM(F105:K105)</f>
        <v>1.7</v>
      </c>
      <c r="F105" s="46"/>
      <c r="G105" s="46"/>
      <c r="H105" s="46">
        <v>1.7</v>
      </c>
      <c r="I105" s="46"/>
      <c r="J105" s="46"/>
      <c r="K105" s="46"/>
      <c r="L105" s="878"/>
      <c r="M105" s="878"/>
      <c r="N105" s="16"/>
      <c r="O105" s="83">
        <v>0</v>
      </c>
      <c r="P105" s="83"/>
      <c r="Q105" s="58">
        <f>SUM(R105:T105)</f>
        <v>0.153</v>
      </c>
      <c r="R105" s="34">
        <f>E105*0.5*0.18+N105*0.02</f>
        <v>0.153</v>
      </c>
      <c r="S105" s="34">
        <f>(N105*0.18+(O105*12*21/1000))*0.13*0.7</f>
        <v>0</v>
      </c>
      <c r="T105" s="34">
        <f>(N105*0.18+(O105*12*21/1000))*0.13*0.3</f>
        <v>0</v>
      </c>
    </row>
    <row r="106" spans="1:20" ht="15">
      <c r="A106" s="866"/>
      <c r="B106" s="879"/>
      <c r="C106" s="880"/>
      <c r="D106" s="7">
        <v>2013</v>
      </c>
      <c r="E106" s="56">
        <f>SUM(F106:K106)</f>
        <v>0</v>
      </c>
      <c r="F106" s="53"/>
      <c r="G106" s="53"/>
      <c r="H106" s="53">
        <v>0</v>
      </c>
      <c r="I106" s="53"/>
      <c r="J106" s="53"/>
      <c r="K106" s="53"/>
      <c r="L106" s="878"/>
      <c r="M106" s="878"/>
      <c r="N106" s="16"/>
      <c r="O106" s="83">
        <v>0</v>
      </c>
      <c r="P106" s="83"/>
      <c r="Q106" s="58">
        <f>SUM(R106:T106)</f>
        <v>0</v>
      </c>
      <c r="R106" s="34">
        <f>E106*0.5*0.18+N106*0.02</f>
        <v>0</v>
      </c>
      <c r="S106" s="34">
        <f>(N106*0.18+(O106*12*21/1000))*0.13*0.7</f>
        <v>0</v>
      </c>
      <c r="T106" s="34">
        <f>(N106*0.18+(O106*12*21/1000))*0.13*0.3</f>
        <v>0</v>
      </c>
    </row>
    <row r="107" spans="1:20" ht="15">
      <c r="A107" s="866"/>
      <c r="B107" s="879"/>
      <c r="C107" s="880"/>
      <c r="D107" s="6">
        <v>2014</v>
      </c>
      <c r="E107" s="56">
        <f>SUM(F107:K107)</f>
        <v>0</v>
      </c>
      <c r="F107" s="53"/>
      <c r="G107" s="53"/>
      <c r="H107" s="53">
        <v>0</v>
      </c>
      <c r="I107" s="53"/>
      <c r="J107" s="53"/>
      <c r="K107" s="53"/>
      <c r="L107" s="878"/>
      <c r="M107" s="878"/>
      <c r="N107" s="16"/>
      <c r="O107" s="83">
        <v>0</v>
      </c>
      <c r="P107" s="83"/>
      <c r="Q107" s="58">
        <f>SUM(R107:T107)</f>
        <v>0</v>
      </c>
      <c r="R107" s="34">
        <f>E107*0.5*0.18+N107*0.02</f>
        <v>0</v>
      </c>
      <c r="S107" s="34">
        <f>(N107*0.18+(O107*12*21/1000))*0.13*0.7</f>
        <v>0</v>
      </c>
      <c r="T107" s="34">
        <f>(N107*0.18+(O107*12*21/1000))*0.13*0.3</f>
        <v>0</v>
      </c>
    </row>
    <row r="108" spans="1:20" ht="15">
      <c r="A108" s="881" t="s">
        <v>181</v>
      </c>
      <c r="B108" s="881"/>
      <c r="C108" s="881"/>
      <c r="D108" s="881"/>
      <c r="E108" s="881"/>
      <c r="F108" s="881"/>
      <c r="G108" s="881"/>
      <c r="H108" s="881"/>
      <c r="I108" s="881"/>
      <c r="J108" s="881"/>
      <c r="K108" s="881"/>
      <c r="L108" s="881"/>
      <c r="M108" s="881"/>
      <c r="N108" s="881"/>
      <c r="O108" s="881"/>
      <c r="P108" s="881"/>
      <c r="Q108" s="881"/>
      <c r="R108" s="881"/>
      <c r="S108" s="881"/>
      <c r="T108" s="881"/>
    </row>
    <row r="109" spans="1:20" ht="15">
      <c r="A109" s="884"/>
      <c r="B109" s="885" t="s">
        <v>647</v>
      </c>
      <c r="C109" s="885"/>
      <c r="D109" s="37">
        <v>2010</v>
      </c>
      <c r="E109" s="61">
        <v>0</v>
      </c>
      <c r="F109" s="61">
        <v>0</v>
      </c>
      <c r="G109" s="61">
        <v>0</v>
      </c>
      <c r="H109" s="61">
        <v>0</v>
      </c>
      <c r="I109" s="61">
        <v>0</v>
      </c>
      <c r="J109" s="61">
        <v>0</v>
      </c>
      <c r="K109" s="61">
        <v>0</v>
      </c>
      <c r="L109" s="886"/>
      <c r="M109" s="886"/>
      <c r="N109" s="61">
        <v>0</v>
      </c>
      <c r="O109" s="61">
        <v>0</v>
      </c>
      <c r="P109" s="61">
        <v>0</v>
      </c>
      <c r="Q109" s="61">
        <v>0</v>
      </c>
      <c r="R109" s="61">
        <v>0</v>
      </c>
      <c r="S109" s="61">
        <v>0</v>
      </c>
      <c r="T109" s="61">
        <v>0</v>
      </c>
    </row>
    <row r="110" spans="1:20" ht="15">
      <c r="A110" s="884"/>
      <c r="B110" s="885"/>
      <c r="C110" s="885"/>
      <c r="D110" s="37">
        <v>2011</v>
      </c>
      <c r="E110" s="61">
        <v>0</v>
      </c>
      <c r="F110" s="61">
        <v>0</v>
      </c>
      <c r="G110" s="61">
        <v>0</v>
      </c>
      <c r="H110" s="61">
        <v>0</v>
      </c>
      <c r="I110" s="61">
        <v>0</v>
      </c>
      <c r="J110" s="61">
        <v>0</v>
      </c>
      <c r="K110" s="61">
        <v>0</v>
      </c>
      <c r="L110" s="886"/>
      <c r="M110" s="886"/>
      <c r="N110" s="61">
        <v>0</v>
      </c>
      <c r="O110" s="61">
        <v>0</v>
      </c>
      <c r="P110" s="61">
        <v>0</v>
      </c>
      <c r="Q110" s="61">
        <v>0</v>
      </c>
      <c r="R110" s="61">
        <v>0</v>
      </c>
      <c r="S110" s="61">
        <v>0</v>
      </c>
      <c r="T110" s="61">
        <v>0</v>
      </c>
    </row>
    <row r="111" spans="1:20" ht="15">
      <c r="A111" s="884"/>
      <c r="B111" s="885"/>
      <c r="C111" s="885"/>
      <c r="D111" s="22">
        <v>2012</v>
      </c>
      <c r="E111" s="61">
        <v>0</v>
      </c>
      <c r="F111" s="61">
        <v>0</v>
      </c>
      <c r="G111" s="61">
        <v>0</v>
      </c>
      <c r="H111" s="61">
        <v>0</v>
      </c>
      <c r="I111" s="61">
        <v>0</v>
      </c>
      <c r="J111" s="61">
        <v>0</v>
      </c>
      <c r="K111" s="61">
        <v>0</v>
      </c>
      <c r="L111" s="886"/>
      <c r="M111" s="886"/>
      <c r="N111" s="61">
        <v>0</v>
      </c>
      <c r="O111" s="61">
        <v>0</v>
      </c>
      <c r="P111" s="61">
        <v>0</v>
      </c>
      <c r="Q111" s="61">
        <v>0</v>
      </c>
      <c r="R111" s="61">
        <v>0</v>
      </c>
      <c r="S111" s="61">
        <v>0</v>
      </c>
      <c r="T111" s="61">
        <v>0</v>
      </c>
    </row>
    <row r="112" spans="1:20" ht="15">
      <c r="A112" s="884"/>
      <c r="B112" s="885"/>
      <c r="C112" s="885"/>
      <c r="D112" s="22">
        <v>2013</v>
      </c>
      <c r="E112" s="61">
        <v>0</v>
      </c>
      <c r="F112" s="61">
        <v>0</v>
      </c>
      <c r="G112" s="61">
        <v>0</v>
      </c>
      <c r="H112" s="61">
        <v>0</v>
      </c>
      <c r="I112" s="61">
        <v>0</v>
      </c>
      <c r="J112" s="61">
        <v>0</v>
      </c>
      <c r="K112" s="61">
        <v>0</v>
      </c>
      <c r="L112" s="886"/>
      <c r="M112" s="886"/>
      <c r="N112" s="61">
        <v>0</v>
      </c>
      <c r="O112" s="61">
        <v>0</v>
      </c>
      <c r="P112" s="61">
        <v>0</v>
      </c>
      <c r="Q112" s="61">
        <v>0</v>
      </c>
      <c r="R112" s="61">
        <v>0</v>
      </c>
      <c r="S112" s="61">
        <v>0</v>
      </c>
      <c r="T112" s="61">
        <v>0</v>
      </c>
    </row>
    <row r="113" spans="1:20" ht="15">
      <c r="A113" s="884"/>
      <c r="B113" s="885"/>
      <c r="C113" s="885"/>
      <c r="D113" s="22">
        <v>2014</v>
      </c>
      <c r="E113" s="61">
        <v>0</v>
      </c>
      <c r="F113" s="61">
        <v>0</v>
      </c>
      <c r="G113" s="61">
        <v>0</v>
      </c>
      <c r="H113" s="61">
        <v>0</v>
      </c>
      <c r="I113" s="61">
        <v>0</v>
      </c>
      <c r="J113" s="61">
        <v>0</v>
      </c>
      <c r="K113" s="61">
        <v>0</v>
      </c>
      <c r="L113" s="886"/>
      <c r="M113" s="886"/>
      <c r="N113" s="61">
        <v>0</v>
      </c>
      <c r="O113" s="61">
        <v>0</v>
      </c>
      <c r="P113" s="61">
        <v>0</v>
      </c>
      <c r="Q113" s="61">
        <v>0</v>
      </c>
      <c r="R113" s="61">
        <v>0</v>
      </c>
      <c r="S113" s="61">
        <v>0</v>
      </c>
      <c r="T113" s="61">
        <v>0</v>
      </c>
    </row>
    <row r="114" spans="1:20" ht="15">
      <c r="A114" s="884"/>
      <c r="B114" s="885"/>
      <c r="C114" s="885"/>
      <c r="D114" s="22" t="s">
        <v>378</v>
      </c>
      <c r="E114" s="61">
        <f aca="true" t="shared" si="50" ref="E114:K114">SUM(E109:E113)</f>
        <v>0</v>
      </c>
      <c r="F114" s="61">
        <f t="shared" si="50"/>
        <v>0</v>
      </c>
      <c r="G114" s="61">
        <f t="shared" si="50"/>
        <v>0</v>
      </c>
      <c r="H114" s="61">
        <f t="shared" si="50"/>
        <v>0</v>
      </c>
      <c r="I114" s="61">
        <f t="shared" si="50"/>
        <v>0</v>
      </c>
      <c r="J114" s="61">
        <f t="shared" si="50"/>
        <v>0</v>
      </c>
      <c r="K114" s="61">
        <f t="shared" si="50"/>
        <v>0</v>
      </c>
      <c r="L114" s="886"/>
      <c r="M114" s="886"/>
      <c r="N114" s="61">
        <f aca="true" t="shared" si="51" ref="N114:T114">SUM(N109:N113)</f>
        <v>0</v>
      </c>
      <c r="O114" s="89">
        <f t="shared" si="51"/>
        <v>0</v>
      </c>
      <c r="P114" s="61"/>
      <c r="Q114" s="61">
        <f t="shared" si="51"/>
        <v>0</v>
      </c>
      <c r="R114" s="61">
        <f t="shared" si="51"/>
        <v>0</v>
      </c>
      <c r="S114" s="61">
        <f t="shared" si="51"/>
        <v>0</v>
      </c>
      <c r="T114" s="61">
        <f t="shared" si="51"/>
        <v>0</v>
      </c>
    </row>
    <row r="115" spans="1:20" ht="15" hidden="1">
      <c r="A115" s="881" t="s">
        <v>160</v>
      </c>
      <c r="B115" s="881"/>
      <c r="C115" s="881"/>
      <c r="D115" s="881"/>
      <c r="E115" s="881"/>
      <c r="F115" s="881"/>
      <c r="G115" s="881"/>
      <c r="H115" s="881"/>
      <c r="I115" s="881"/>
      <c r="J115" s="881"/>
      <c r="K115" s="881"/>
      <c r="L115" s="881"/>
      <c r="M115" s="881"/>
      <c r="N115" s="881"/>
      <c r="O115" s="881"/>
      <c r="P115" s="881"/>
      <c r="Q115" s="881"/>
      <c r="R115" s="881"/>
      <c r="S115" s="881"/>
      <c r="T115" s="881"/>
    </row>
    <row r="116" spans="1:20" s="11" customFormat="1" ht="15" hidden="1">
      <c r="A116" s="933"/>
      <c r="B116" s="933"/>
      <c r="C116" s="933"/>
      <c r="D116" s="12"/>
      <c r="E116" s="12"/>
      <c r="F116" s="12"/>
      <c r="G116" s="12"/>
      <c r="H116" s="12"/>
      <c r="I116" s="12"/>
      <c r="J116" s="12"/>
      <c r="K116" s="12"/>
      <c r="L116" s="933"/>
      <c r="M116" s="933"/>
      <c r="N116" s="12"/>
      <c r="O116" s="12"/>
      <c r="P116" s="12"/>
      <c r="Q116" s="12"/>
      <c r="R116" s="12"/>
      <c r="S116" s="12"/>
      <c r="T116" s="12"/>
    </row>
    <row r="117" spans="1:20" s="11" customFormat="1" ht="15" hidden="1">
      <c r="A117" s="934"/>
      <c r="B117" s="934"/>
      <c r="C117" s="934"/>
      <c r="D117" s="12"/>
      <c r="E117" s="12"/>
      <c r="F117" s="12"/>
      <c r="G117" s="12"/>
      <c r="H117" s="12"/>
      <c r="I117" s="12"/>
      <c r="J117" s="12"/>
      <c r="K117" s="12"/>
      <c r="L117" s="934"/>
      <c r="M117" s="934"/>
      <c r="N117" s="12"/>
      <c r="O117" s="12"/>
      <c r="P117" s="12"/>
      <c r="Q117" s="12"/>
      <c r="R117" s="12"/>
      <c r="S117" s="12"/>
      <c r="T117" s="12"/>
    </row>
    <row r="118" spans="1:20" ht="15.75" customHeight="1" hidden="1">
      <c r="A118" s="935" t="s">
        <v>131</v>
      </c>
      <c r="B118" s="936"/>
      <c r="C118" s="936"/>
      <c r="D118" s="936"/>
      <c r="E118" s="936"/>
      <c r="F118" s="936"/>
      <c r="G118" s="936"/>
      <c r="H118" s="936"/>
      <c r="I118" s="936"/>
      <c r="J118" s="936"/>
      <c r="K118" s="936"/>
      <c r="L118" s="936"/>
      <c r="M118" s="936"/>
      <c r="N118" s="936"/>
      <c r="O118" s="936"/>
      <c r="P118" s="936"/>
      <c r="Q118" s="936"/>
      <c r="R118" s="936"/>
      <c r="S118" s="936"/>
      <c r="T118" s="937"/>
    </row>
    <row r="119" spans="1:20" ht="15" hidden="1">
      <c r="A119" s="873"/>
      <c r="B119" s="874" t="s">
        <v>646</v>
      </c>
      <c r="C119" s="874"/>
      <c r="D119" s="38">
        <v>2010</v>
      </c>
      <c r="E119" s="52">
        <v>0</v>
      </c>
      <c r="F119" s="52">
        <v>0</v>
      </c>
      <c r="G119" s="52">
        <v>0</v>
      </c>
      <c r="H119" s="52">
        <v>0</v>
      </c>
      <c r="I119" s="52">
        <v>0</v>
      </c>
      <c r="J119" s="52">
        <v>0</v>
      </c>
      <c r="K119" s="52">
        <v>0</v>
      </c>
      <c r="L119" s="875"/>
      <c r="M119" s="875"/>
      <c r="N119" s="52">
        <v>0</v>
      </c>
      <c r="O119" s="52">
        <v>0</v>
      </c>
      <c r="P119" s="52">
        <v>0</v>
      </c>
      <c r="Q119" s="52">
        <v>0</v>
      </c>
      <c r="R119" s="52">
        <v>0</v>
      </c>
      <c r="S119" s="52">
        <v>0</v>
      </c>
      <c r="T119" s="52">
        <v>0</v>
      </c>
    </row>
    <row r="120" spans="1:20" ht="15" hidden="1">
      <c r="A120" s="873"/>
      <c r="B120" s="874"/>
      <c r="C120" s="874"/>
      <c r="D120" s="38">
        <v>2011</v>
      </c>
      <c r="E120" s="52">
        <v>0</v>
      </c>
      <c r="F120" s="52">
        <v>0</v>
      </c>
      <c r="G120" s="52">
        <v>0</v>
      </c>
      <c r="H120" s="52">
        <v>0</v>
      </c>
      <c r="I120" s="52">
        <v>0</v>
      </c>
      <c r="J120" s="52">
        <v>0</v>
      </c>
      <c r="K120" s="52">
        <v>0</v>
      </c>
      <c r="L120" s="875"/>
      <c r="M120" s="875"/>
      <c r="N120" s="52">
        <v>0</v>
      </c>
      <c r="O120" s="52">
        <v>0</v>
      </c>
      <c r="P120" s="52">
        <v>0</v>
      </c>
      <c r="Q120" s="52">
        <v>0</v>
      </c>
      <c r="R120" s="52">
        <v>0</v>
      </c>
      <c r="S120" s="52">
        <v>0</v>
      </c>
      <c r="T120" s="52">
        <v>0</v>
      </c>
    </row>
    <row r="121" spans="1:20" ht="15" hidden="1">
      <c r="A121" s="873"/>
      <c r="B121" s="874"/>
      <c r="C121" s="874"/>
      <c r="D121" s="38">
        <v>2012</v>
      </c>
      <c r="E121" s="52">
        <v>0</v>
      </c>
      <c r="F121" s="52">
        <v>0</v>
      </c>
      <c r="G121" s="52">
        <v>0</v>
      </c>
      <c r="H121" s="52">
        <v>0</v>
      </c>
      <c r="I121" s="52">
        <v>0</v>
      </c>
      <c r="J121" s="52">
        <v>0</v>
      </c>
      <c r="K121" s="52">
        <v>0</v>
      </c>
      <c r="L121" s="875"/>
      <c r="M121" s="875"/>
      <c r="N121" s="52">
        <v>0</v>
      </c>
      <c r="O121" s="52">
        <v>0</v>
      </c>
      <c r="P121" s="52">
        <v>0</v>
      </c>
      <c r="Q121" s="52">
        <v>0</v>
      </c>
      <c r="R121" s="52">
        <v>0</v>
      </c>
      <c r="S121" s="52">
        <v>0</v>
      </c>
      <c r="T121" s="52">
        <v>0</v>
      </c>
    </row>
    <row r="122" spans="1:20" ht="15" hidden="1">
      <c r="A122" s="873"/>
      <c r="B122" s="874"/>
      <c r="C122" s="874"/>
      <c r="D122" s="38">
        <v>2013</v>
      </c>
      <c r="E122" s="52">
        <v>0</v>
      </c>
      <c r="F122" s="52">
        <v>0</v>
      </c>
      <c r="G122" s="52">
        <v>0</v>
      </c>
      <c r="H122" s="52">
        <v>0</v>
      </c>
      <c r="I122" s="52">
        <v>0</v>
      </c>
      <c r="J122" s="52">
        <v>0</v>
      </c>
      <c r="K122" s="52">
        <v>0</v>
      </c>
      <c r="L122" s="875"/>
      <c r="M122" s="875"/>
      <c r="N122" s="52">
        <v>0</v>
      </c>
      <c r="O122" s="52">
        <v>0</v>
      </c>
      <c r="P122" s="52">
        <v>0</v>
      </c>
      <c r="Q122" s="52">
        <v>0</v>
      </c>
      <c r="R122" s="52">
        <v>0</v>
      </c>
      <c r="S122" s="52">
        <v>0</v>
      </c>
      <c r="T122" s="52">
        <v>0</v>
      </c>
    </row>
    <row r="123" spans="1:20" ht="15" hidden="1">
      <c r="A123" s="873"/>
      <c r="B123" s="874"/>
      <c r="C123" s="874"/>
      <c r="D123" s="38">
        <v>2014</v>
      </c>
      <c r="E123" s="52">
        <v>0</v>
      </c>
      <c r="F123" s="52">
        <v>0</v>
      </c>
      <c r="G123" s="52">
        <v>0</v>
      </c>
      <c r="H123" s="52">
        <v>0</v>
      </c>
      <c r="I123" s="52">
        <v>0</v>
      </c>
      <c r="J123" s="52">
        <v>0</v>
      </c>
      <c r="K123" s="52">
        <v>0</v>
      </c>
      <c r="L123" s="875"/>
      <c r="M123" s="875"/>
      <c r="N123" s="52">
        <v>0</v>
      </c>
      <c r="O123" s="52">
        <v>0</v>
      </c>
      <c r="P123" s="52">
        <v>0</v>
      </c>
      <c r="Q123" s="52">
        <v>0</v>
      </c>
      <c r="R123" s="52">
        <v>0</v>
      </c>
      <c r="S123" s="52">
        <v>0</v>
      </c>
      <c r="T123" s="52">
        <v>0</v>
      </c>
    </row>
    <row r="124" spans="1:20" ht="15" hidden="1">
      <c r="A124" s="873"/>
      <c r="B124" s="874"/>
      <c r="C124" s="874"/>
      <c r="D124" s="38" t="s">
        <v>378</v>
      </c>
      <c r="E124" s="52">
        <f>SUM(E119:E123)</f>
        <v>0</v>
      </c>
      <c r="F124" s="52">
        <f aca="true" t="shared" si="52" ref="F124:K124">SUM(F119:F123)</f>
        <v>0</v>
      </c>
      <c r="G124" s="52">
        <f t="shared" si="52"/>
        <v>0</v>
      </c>
      <c r="H124" s="52">
        <f t="shared" si="52"/>
        <v>0</v>
      </c>
      <c r="I124" s="52">
        <f t="shared" si="52"/>
        <v>0</v>
      </c>
      <c r="J124" s="52">
        <f t="shared" si="52"/>
        <v>0</v>
      </c>
      <c r="K124" s="52">
        <f t="shared" si="52"/>
        <v>0</v>
      </c>
      <c r="L124" s="875"/>
      <c r="M124" s="875"/>
      <c r="N124" s="82">
        <f aca="true" t="shared" si="53" ref="N124:T124">SUM(N119:N123)</f>
        <v>0</v>
      </c>
      <c r="O124" s="82">
        <f t="shared" si="53"/>
        <v>0</v>
      </c>
      <c r="P124" s="82"/>
      <c r="Q124" s="82">
        <f t="shared" si="53"/>
        <v>0</v>
      </c>
      <c r="R124" s="82">
        <f t="shared" si="53"/>
        <v>0</v>
      </c>
      <c r="S124" s="82">
        <f t="shared" si="53"/>
        <v>0</v>
      </c>
      <c r="T124" s="82">
        <f t="shared" si="53"/>
        <v>0</v>
      </c>
    </row>
    <row r="125" spans="1:20" ht="15" hidden="1">
      <c r="A125" s="866"/>
      <c r="B125" s="876"/>
      <c r="C125" s="877"/>
      <c r="D125" s="125"/>
      <c r="E125" s="62"/>
      <c r="F125" s="62"/>
      <c r="G125" s="62"/>
      <c r="H125" s="62"/>
      <c r="I125" s="62"/>
      <c r="J125" s="62"/>
      <c r="K125" s="62"/>
      <c r="L125" s="878"/>
      <c r="M125" s="871"/>
      <c r="N125" s="99"/>
      <c r="O125" s="103"/>
      <c r="P125" s="103"/>
      <c r="Q125" s="99"/>
      <c r="R125" s="99"/>
      <c r="S125" s="99"/>
      <c r="T125" s="99"/>
    </row>
    <row r="126" spans="1:20" ht="15" hidden="1">
      <c r="A126" s="866"/>
      <c r="B126" s="876"/>
      <c r="C126" s="877"/>
      <c r="D126" s="126"/>
      <c r="E126" s="62"/>
      <c r="F126" s="62"/>
      <c r="G126" s="62"/>
      <c r="H126" s="62"/>
      <c r="I126" s="62"/>
      <c r="J126" s="62"/>
      <c r="K126" s="62"/>
      <c r="L126" s="878"/>
      <c r="M126" s="871"/>
      <c r="N126" s="99"/>
      <c r="O126" s="100"/>
      <c r="P126" s="100"/>
      <c r="Q126" s="58"/>
      <c r="R126" s="34"/>
      <c r="S126" s="34"/>
      <c r="T126" s="34"/>
    </row>
    <row r="127" spans="1:20" ht="15" hidden="1">
      <c r="A127" s="866"/>
      <c r="B127" s="876"/>
      <c r="C127" s="877"/>
      <c r="D127" s="126"/>
      <c r="E127" s="62"/>
      <c r="F127" s="53"/>
      <c r="G127" s="53"/>
      <c r="H127" s="53"/>
      <c r="I127" s="53"/>
      <c r="J127" s="53"/>
      <c r="K127" s="53"/>
      <c r="L127" s="878"/>
      <c r="M127" s="871"/>
      <c r="N127" s="99"/>
      <c r="O127" s="100"/>
      <c r="P127" s="100"/>
      <c r="Q127" s="58"/>
      <c r="R127" s="34"/>
      <c r="S127" s="34"/>
      <c r="T127" s="34"/>
    </row>
    <row r="128" spans="1:20" ht="15" hidden="1">
      <c r="A128" s="866"/>
      <c r="B128" s="876"/>
      <c r="C128" s="877"/>
      <c r="D128" s="126"/>
      <c r="E128" s="62"/>
      <c r="F128" s="53"/>
      <c r="G128" s="53"/>
      <c r="H128" s="53"/>
      <c r="I128" s="53"/>
      <c r="J128" s="53"/>
      <c r="K128" s="53"/>
      <c r="L128" s="878"/>
      <c r="M128" s="871"/>
      <c r="N128" s="99"/>
      <c r="O128" s="100"/>
      <c r="P128" s="100"/>
      <c r="Q128" s="58"/>
      <c r="R128" s="34"/>
      <c r="S128" s="34"/>
      <c r="T128" s="34"/>
    </row>
    <row r="129" spans="1:20" ht="15" hidden="1">
      <c r="A129" s="866"/>
      <c r="B129" s="876"/>
      <c r="C129" s="877"/>
      <c r="D129" s="126"/>
      <c r="E129" s="62"/>
      <c r="F129" s="53"/>
      <c r="G129" s="53"/>
      <c r="H129" s="53"/>
      <c r="I129" s="53"/>
      <c r="J129" s="53"/>
      <c r="K129" s="53"/>
      <c r="L129" s="878"/>
      <c r="M129" s="871"/>
      <c r="N129" s="99"/>
      <c r="O129" s="100"/>
      <c r="P129" s="100"/>
      <c r="Q129" s="58"/>
      <c r="R129" s="34"/>
      <c r="S129" s="34"/>
      <c r="T129" s="34"/>
    </row>
    <row r="130" spans="1:20" ht="15" hidden="1">
      <c r="A130" s="866"/>
      <c r="B130" s="876"/>
      <c r="C130" s="877"/>
      <c r="D130" s="126"/>
      <c r="E130" s="62"/>
      <c r="F130" s="53"/>
      <c r="G130" s="53"/>
      <c r="H130" s="53"/>
      <c r="I130" s="53"/>
      <c r="J130" s="53"/>
      <c r="K130" s="53"/>
      <c r="L130" s="878"/>
      <c r="M130" s="871"/>
      <c r="N130" s="99"/>
      <c r="O130" s="100"/>
      <c r="P130" s="100"/>
      <c r="Q130" s="58"/>
      <c r="R130" s="34"/>
      <c r="S130" s="34"/>
      <c r="T130" s="34"/>
    </row>
    <row r="131" spans="1:20" ht="15.75" hidden="1">
      <c r="A131" s="872" t="s">
        <v>163</v>
      </c>
      <c r="B131" s="872"/>
      <c r="C131" s="872"/>
      <c r="D131" s="872"/>
      <c r="E131" s="872"/>
      <c r="F131" s="872"/>
      <c r="G131" s="872"/>
      <c r="H131" s="872"/>
      <c r="I131" s="872"/>
      <c r="J131" s="872"/>
      <c r="K131" s="872"/>
      <c r="L131" s="872"/>
      <c r="M131" s="872"/>
      <c r="N131" s="872"/>
      <c r="O131" s="872"/>
      <c r="P131" s="872"/>
      <c r="Q131" s="872"/>
      <c r="R131" s="872"/>
      <c r="S131" s="872"/>
      <c r="T131" s="872"/>
    </row>
    <row r="132" spans="1:20" ht="25.5" hidden="1">
      <c r="A132" s="873"/>
      <c r="B132" s="874" t="s">
        <v>646</v>
      </c>
      <c r="C132" s="874"/>
      <c r="D132" s="38">
        <v>2010</v>
      </c>
      <c r="E132" s="52">
        <v>0</v>
      </c>
      <c r="F132" s="52">
        <v>0</v>
      </c>
      <c r="G132" s="52">
        <v>0</v>
      </c>
      <c r="H132" s="52">
        <v>0</v>
      </c>
      <c r="I132" s="52">
        <v>0</v>
      </c>
      <c r="J132" s="52">
        <v>0</v>
      </c>
      <c r="K132" s="52">
        <v>0</v>
      </c>
      <c r="L132" s="875" t="s">
        <v>395</v>
      </c>
      <c r="M132" s="875" t="s">
        <v>395</v>
      </c>
      <c r="N132" s="40"/>
      <c r="O132" s="81" t="s">
        <v>789</v>
      </c>
      <c r="P132" s="81"/>
      <c r="Q132" s="52">
        <v>0</v>
      </c>
      <c r="R132" s="52">
        <v>0</v>
      </c>
      <c r="S132" s="52">
        <v>0</v>
      </c>
      <c r="T132" s="52">
        <v>0</v>
      </c>
    </row>
    <row r="133" spans="1:20" ht="25.5" hidden="1">
      <c r="A133" s="873"/>
      <c r="B133" s="874"/>
      <c r="C133" s="874"/>
      <c r="D133" s="38">
        <v>2011</v>
      </c>
      <c r="E133" s="52">
        <v>0</v>
      </c>
      <c r="F133" s="52">
        <v>0</v>
      </c>
      <c r="G133" s="52">
        <v>0</v>
      </c>
      <c r="H133" s="52">
        <v>0</v>
      </c>
      <c r="I133" s="52">
        <v>0</v>
      </c>
      <c r="J133" s="52">
        <v>0</v>
      </c>
      <c r="K133" s="52">
        <v>0</v>
      </c>
      <c r="L133" s="875"/>
      <c r="M133" s="875"/>
      <c r="N133" s="40"/>
      <c r="O133" s="81" t="s">
        <v>789</v>
      </c>
      <c r="P133" s="81"/>
      <c r="Q133" s="52">
        <v>0</v>
      </c>
      <c r="R133" s="52">
        <v>0</v>
      </c>
      <c r="S133" s="52">
        <v>0</v>
      </c>
      <c r="T133" s="52">
        <v>0</v>
      </c>
    </row>
    <row r="134" spans="1:20" ht="25.5" hidden="1">
      <c r="A134" s="873"/>
      <c r="B134" s="874"/>
      <c r="C134" s="874"/>
      <c r="D134" s="38">
        <v>2012</v>
      </c>
      <c r="E134" s="52">
        <v>0</v>
      </c>
      <c r="F134" s="52">
        <v>0</v>
      </c>
      <c r="G134" s="52">
        <v>0</v>
      </c>
      <c r="H134" s="52">
        <v>0</v>
      </c>
      <c r="I134" s="52">
        <v>0</v>
      </c>
      <c r="J134" s="52">
        <v>0</v>
      </c>
      <c r="K134" s="52">
        <v>0</v>
      </c>
      <c r="L134" s="875"/>
      <c r="M134" s="875"/>
      <c r="N134" s="40"/>
      <c r="O134" s="81" t="s">
        <v>789</v>
      </c>
      <c r="P134" s="81"/>
      <c r="Q134" s="52">
        <v>0</v>
      </c>
      <c r="R134" s="52">
        <v>0</v>
      </c>
      <c r="S134" s="52">
        <v>0</v>
      </c>
      <c r="T134" s="52">
        <v>0</v>
      </c>
    </row>
    <row r="135" spans="1:20" ht="25.5" hidden="1">
      <c r="A135" s="873"/>
      <c r="B135" s="874"/>
      <c r="C135" s="874"/>
      <c r="D135" s="38">
        <v>2013</v>
      </c>
      <c r="E135" s="52">
        <v>0</v>
      </c>
      <c r="F135" s="52">
        <v>0</v>
      </c>
      <c r="G135" s="52">
        <v>0</v>
      </c>
      <c r="H135" s="52">
        <v>0</v>
      </c>
      <c r="I135" s="52">
        <v>0</v>
      </c>
      <c r="J135" s="52">
        <v>0</v>
      </c>
      <c r="K135" s="52">
        <v>0</v>
      </c>
      <c r="L135" s="875"/>
      <c r="M135" s="875"/>
      <c r="N135" s="40"/>
      <c r="O135" s="81" t="s">
        <v>789</v>
      </c>
      <c r="P135" s="81"/>
      <c r="Q135" s="52">
        <v>0</v>
      </c>
      <c r="R135" s="52">
        <v>0</v>
      </c>
      <c r="S135" s="52">
        <v>0</v>
      </c>
      <c r="T135" s="52">
        <v>0</v>
      </c>
    </row>
    <row r="136" spans="1:20" ht="25.5" hidden="1">
      <c r="A136" s="873"/>
      <c r="B136" s="874"/>
      <c r="C136" s="874"/>
      <c r="D136" s="38">
        <v>2014</v>
      </c>
      <c r="E136" s="52">
        <v>0</v>
      </c>
      <c r="F136" s="52">
        <v>0</v>
      </c>
      <c r="G136" s="52">
        <v>0</v>
      </c>
      <c r="H136" s="52">
        <v>0</v>
      </c>
      <c r="I136" s="52">
        <v>0</v>
      </c>
      <c r="J136" s="52">
        <v>0</v>
      </c>
      <c r="K136" s="52">
        <v>0</v>
      </c>
      <c r="L136" s="875"/>
      <c r="M136" s="875"/>
      <c r="N136" s="40"/>
      <c r="O136" s="81" t="s">
        <v>789</v>
      </c>
      <c r="P136" s="81"/>
      <c r="Q136" s="52">
        <v>0</v>
      </c>
      <c r="R136" s="52">
        <v>0</v>
      </c>
      <c r="S136" s="52">
        <v>0</v>
      </c>
      <c r="T136" s="52">
        <v>0</v>
      </c>
    </row>
    <row r="137" spans="1:20" ht="25.5" hidden="1">
      <c r="A137" s="873"/>
      <c r="B137" s="874"/>
      <c r="C137" s="874"/>
      <c r="D137" s="38" t="s">
        <v>378</v>
      </c>
      <c r="E137" s="52">
        <f>SUM(E132:E136)</f>
        <v>0</v>
      </c>
      <c r="F137" s="52">
        <f aca="true" t="shared" si="54" ref="F137:K137">SUM(F132:F136)</f>
        <v>0</v>
      </c>
      <c r="G137" s="52">
        <f t="shared" si="54"/>
        <v>0</v>
      </c>
      <c r="H137" s="52">
        <f t="shared" si="54"/>
        <v>0</v>
      </c>
      <c r="I137" s="52">
        <f t="shared" si="54"/>
        <v>0</v>
      </c>
      <c r="J137" s="52">
        <f t="shared" si="54"/>
        <v>0</v>
      </c>
      <c r="K137" s="52">
        <f t="shared" si="54"/>
        <v>0</v>
      </c>
      <c r="L137" s="875"/>
      <c r="M137" s="875"/>
      <c r="N137" s="40"/>
      <c r="O137" s="81" t="s">
        <v>789</v>
      </c>
      <c r="P137" s="81"/>
      <c r="Q137" s="52">
        <f>SUM(Q132:Q136)</f>
        <v>0</v>
      </c>
      <c r="R137" s="52">
        <f>SUM(R132:R136)</f>
        <v>0</v>
      </c>
      <c r="S137" s="52">
        <f>SUM(S132:S136)</f>
        <v>0</v>
      </c>
      <c r="T137" s="52">
        <f>SUM(T132:T136)</f>
        <v>0</v>
      </c>
    </row>
    <row r="138" spans="1:20" ht="15" hidden="1">
      <c r="A138" s="866"/>
      <c r="B138" s="867"/>
      <c r="C138" s="868"/>
      <c r="D138" s="129"/>
      <c r="E138" s="57"/>
      <c r="F138" s="57"/>
      <c r="G138" s="57"/>
      <c r="H138" s="57"/>
      <c r="I138" s="57"/>
      <c r="J138" s="57"/>
      <c r="K138" s="57"/>
      <c r="L138" s="869"/>
      <c r="M138" s="870"/>
      <c r="N138" s="870"/>
      <c r="O138" s="92"/>
      <c r="P138" s="92"/>
      <c r="Q138" s="35"/>
      <c r="R138" s="35"/>
      <c r="S138" s="253"/>
      <c r="T138" s="253"/>
    </row>
    <row r="139" spans="1:20" ht="15" hidden="1">
      <c r="A139" s="866"/>
      <c r="B139" s="867"/>
      <c r="C139" s="868"/>
      <c r="D139" s="10"/>
      <c r="E139" s="62"/>
      <c r="F139" s="62"/>
      <c r="G139" s="62"/>
      <c r="H139" s="62"/>
      <c r="I139" s="62"/>
      <c r="J139" s="62"/>
      <c r="K139" s="62"/>
      <c r="L139" s="869"/>
      <c r="M139" s="870"/>
      <c r="N139" s="870"/>
      <c r="O139" s="90"/>
      <c r="P139" s="90"/>
      <c r="Q139" s="64"/>
      <c r="R139" s="64"/>
      <c r="S139" s="64"/>
      <c r="T139" s="64"/>
    </row>
    <row r="140" spans="1:20" ht="15" hidden="1">
      <c r="A140" s="866"/>
      <c r="B140" s="867"/>
      <c r="C140" s="868"/>
      <c r="D140" s="10"/>
      <c r="E140" s="62"/>
      <c r="F140" s="62"/>
      <c r="G140" s="62"/>
      <c r="H140" s="62"/>
      <c r="I140" s="62"/>
      <c r="J140" s="62"/>
      <c r="K140" s="62"/>
      <c r="L140" s="869"/>
      <c r="M140" s="870"/>
      <c r="N140" s="870"/>
      <c r="O140" s="90"/>
      <c r="P140" s="90"/>
      <c r="Q140" s="64"/>
      <c r="R140" s="64"/>
      <c r="S140" s="64"/>
      <c r="T140" s="64"/>
    </row>
    <row r="141" spans="1:20" ht="15" hidden="1">
      <c r="A141" s="866"/>
      <c r="B141" s="867"/>
      <c r="C141" s="868"/>
      <c r="D141" s="9"/>
      <c r="E141" s="62"/>
      <c r="F141" s="62"/>
      <c r="G141" s="63"/>
      <c r="H141" s="62"/>
      <c r="I141" s="62"/>
      <c r="J141" s="63"/>
      <c r="K141" s="63"/>
      <c r="L141" s="869"/>
      <c r="M141" s="870"/>
      <c r="N141" s="870"/>
      <c r="O141" s="90"/>
      <c r="P141" s="90"/>
      <c r="Q141" s="64"/>
      <c r="R141" s="64"/>
      <c r="S141" s="64"/>
      <c r="T141" s="64"/>
    </row>
    <row r="142" spans="1:20" ht="15" hidden="1">
      <c r="A142" s="866"/>
      <c r="B142" s="867"/>
      <c r="C142" s="868"/>
      <c r="D142" s="9"/>
      <c r="E142" s="62"/>
      <c r="F142" s="62"/>
      <c r="G142" s="63"/>
      <c r="H142" s="62"/>
      <c r="I142" s="62"/>
      <c r="J142" s="63"/>
      <c r="K142" s="63"/>
      <c r="L142" s="869"/>
      <c r="M142" s="870"/>
      <c r="N142" s="870"/>
      <c r="O142" s="90"/>
      <c r="P142" s="90"/>
      <c r="Q142" s="64"/>
      <c r="R142" s="64"/>
      <c r="S142" s="64"/>
      <c r="T142" s="64"/>
    </row>
    <row r="143" spans="1:20" ht="15" hidden="1">
      <c r="A143" s="866"/>
      <c r="B143" s="867"/>
      <c r="C143" s="868"/>
      <c r="D143" s="9"/>
      <c r="E143" s="62"/>
      <c r="F143" s="62"/>
      <c r="G143" s="63"/>
      <c r="H143" s="62"/>
      <c r="I143" s="62"/>
      <c r="J143" s="63"/>
      <c r="K143" s="63"/>
      <c r="L143" s="869"/>
      <c r="M143" s="870"/>
      <c r="N143" s="870"/>
      <c r="O143" s="90"/>
      <c r="P143" s="90"/>
      <c r="Q143" s="64"/>
      <c r="R143" s="64"/>
      <c r="S143" s="64"/>
      <c r="T143" s="64"/>
    </row>
    <row r="144" spans="1:20" ht="15.75" hidden="1">
      <c r="A144" s="269"/>
      <c r="B144" s="276" t="s">
        <v>655</v>
      </c>
      <c r="C144" s="104"/>
      <c r="D144" s="28"/>
      <c r="E144" s="108"/>
      <c r="F144" s="108"/>
      <c r="G144" s="109"/>
      <c r="H144" s="108"/>
      <c r="I144" s="108"/>
      <c r="J144" s="109"/>
      <c r="K144" s="109"/>
      <c r="L144" s="376"/>
      <c r="M144" s="105"/>
      <c r="N144" s="105"/>
      <c r="O144" s="106"/>
      <c r="P144" s="106"/>
      <c r="Q144" s="105"/>
      <c r="R144" s="105"/>
      <c r="S144" s="105"/>
      <c r="T144" s="105"/>
    </row>
    <row r="145" spans="1:20" ht="15.75" hidden="1">
      <c r="A145" s="19" t="s">
        <v>434</v>
      </c>
      <c r="B145" s="865" t="s">
        <v>54</v>
      </c>
      <c r="C145" s="865"/>
      <c r="D145" s="865"/>
      <c r="E145" s="865"/>
      <c r="F145" s="865"/>
      <c r="G145" s="865"/>
      <c r="H145" s="865"/>
      <c r="I145" s="865"/>
      <c r="J145" s="865"/>
      <c r="K145" s="865"/>
      <c r="L145" s="865"/>
      <c r="M145" s="865"/>
      <c r="N145" s="865"/>
      <c r="O145" s="865"/>
      <c r="P145" s="865"/>
      <c r="Q145" s="865"/>
      <c r="R145" s="865"/>
      <c r="S145" s="865"/>
      <c r="T145" s="865"/>
    </row>
  </sheetData>
  <sheetProtection/>
  <mergeCells count="127">
    <mergeCell ref="L4:L5"/>
    <mergeCell ref="N4:N5"/>
    <mergeCell ref="Q1:T1"/>
    <mergeCell ref="I1:J1"/>
    <mergeCell ref="E4:K4"/>
    <mergeCell ref="A2:T2"/>
    <mergeCell ref="R3:T3"/>
    <mergeCell ref="M4:M5"/>
    <mergeCell ref="P4:P5"/>
    <mergeCell ref="C4:C5"/>
    <mergeCell ref="D4:D5"/>
    <mergeCell ref="A17:A22"/>
    <mergeCell ref="B17:C22"/>
    <mergeCell ref="B4:B5"/>
    <mergeCell ref="A12:T12"/>
    <mergeCell ref="A4:A5"/>
    <mergeCell ref="Q4:T4"/>
    <mergeCell ref="O4:O5"/>
    <mergeCell ref="L6:L11"/>
    <mergeCell ref="A16:T16"/>
    <mergeCell ref="A41:A46"/>
    <mergeCell ref="B41:C46"/>
    <mergeCell ref="L41:L46"/>
    <mergeCell ref="M6:M11"/>
    <mergeCell ref="A6:A11"/>
    <mergeCell ref="B6:C11"/>
    <mergeCell ref="A14:T14"/>
    <mergeCell ref="M37:M39"/>
    <mergeCell ref="A23:A28"/>
    <mergeCell ref="B23:B28"/>
    <mergeCell ref="A30:A35"/>
    <mergeCell ref="L30:L35"/>
    <mergeCell ref="C23:C28"/>
    <mergeCell ref="A29:T29"/>
    <mergeCell ref="L23:L28"/>
    <mergeCell ref="M30:M35"/>
    <mergeCell ref="L17:L22"/>
    <mergeCell ref="A47:T47"/>
    <mergeCell ref="M23:M28"/>
    <mergeCell ref="N37:N39"/>
    <mergeCell ref="C36:C39"/>
    <mergeCell ref="A36:A39"/>
    <mergeCell ref="B36:B39"/>
    <mergeCell ref="L37:L39"/>
    <mergeCell ref="B30:C35"/>
    <mergeCell ref="M41:M46"/>
    <mergeCell ref="A40:T40"/>
    <mergeCell ref="A54:T54"/>
    <mergeCell ref="M55:M60"/>
    <mergeCell ref="A61:A66"/>
    <mergeCell ref="A48:A53"/>
    <mergeCell ref="B48:B53"/>
    <mergeCell ref="C48:C53"/>
    <mergeCell ref="L48:L53"/>
    <mergeCell ref="M48:M53"/>
    <mergeCell ref="A55:A60"/>
    <mergeCell ref="B55:B60"/>
    <mergeCell ref="C55:C60"/>
    <mergeCell ref="L55:L60"/>
    <mergeCell ref="B61:B66"/>
    <mergeCell ref="C61:C66"/>
    <mergeCell ref="L61:L66"/>
    <mergeCell ref="M61:M66"/>
    <mergeCell ref="A67:A72"/>
    <mergeCell ref="B67:B72"/>
    <mergeCell ref="C67:C72"/>
    <mergeCell ref="L67:L72"/>
    <mergeCell ref="M67:M72"/>
    <mergeCell ref="A89:A94"/>
    <mergeCell ref="B89:C94"/>
    <mergeCell ref="L89:L94"/>
    <mergeCell ref="M89:M94"/>
    <mergeCell ref="A80:T80"/>
    <mergeCell ref="A73:T73"/>
    <mergeCell ref="A74:A79"/>
    <mergeCell ref="B74:C79"/>
    <mergeCell ref="L74:L79"/>
    <mergeCell ref="M74:M79"/>
    <mergeCell ref="A81:T81"/>
    <mergeCell ref="A82:A87"/>
    <mergeCell ref="B82:C87"/>
    <mergeCell ref="L82:L87"/>
    <mergeCell ref="M82:M87"/>
    <mergeCell ref="A88:T88"/>
    <mergeCell ref="M102:M107"/>
    <mergeCell ref="A95:T95"/>
    <mergeCell ref="A96:A101"/>
    <mergeCell ref="B96:C101"/>
    <mergeCell ref="L96:L101"/>
    <mergeCell ref="M96:M101"/>
    <mergeCell ref="A102:A107"/>
    <mergeCell ref="B102:B107"/>
    <mergeCell ref="C102:C107"/>
    <mergeCell ref="L102:L107"/>
    <mergeCell ref="A115:T115"/>
    <mergeCell ref="A116:A117"/>
    <mergeCell ref="A108:T108"/>
    <mergeCell ref="A109:A114"/>
    <mergeCell ref="B109:C114"/>
    <mergeCell ref="L109:L114"/>
    <mergeCell ref="M109:M114"/>
    <mergeCell ref="A125:A130"/>
    <mergeCell ref="B125:B130"/>
    <mergeCell ref="C125:C130"/>
    <mergeCell ref="L125:L130"/>
    <mergeCell ref="B132:C137"/>
    <mergeCell ref="L132:L137"/>
    <mergeCell ref="A118:T118"/>
    <mergeCell ref="A119:A124"/>
    <mergeCell ref="B119:C124"/>
    <mergeCell ref="L119:L124"/>
    <mergeCell ref="M119:M124"/>
    <mergeCell ref="A138:A143"/>
    <mergeCell ref="B138:B143"/>
    <mergeCell ref="C138:C143"/>
    <mergeCell ref="L138:L143"/>
    <mergeCell ref="M132:M137"/>
    <mergeCell ref="B145:T145"/>
    <mergeCell ref="M116:M117"/>
    <mergeCell ref="L116:L117"/>
    <mergeCell ref="C116:C117"/>
    <mergeCell ref="B116:B117"/>
    <mergeCell ref="M138:M143"/>
    <mergeCell ref="N138:N143"/>
    <mergeCell ref="M125:M130"/>
    <mergeCell ref="A131:T131"/>
    <mergeCell ref="A132:A137"/>
  </mergeCells>
  <printOptions horizontalCentered="1"/>
  <pageMargins left="0.1968503937007874" right="0.1968503937007874" top="0.1968503937007874" bottom="0.1968503937007874" header="0" footer="0"/>
  <pageSetup fitToHeight="0" horizontalDpi="600" verticalDpi="600" orientation="landscape" paperSize="9" scale="63" r:id="rId3"/>
  <headerFooter alignWithMargins="0">
    <oddFooter>&amp;R&amp;P</oddFooter>
  </headerFooter>
  <rowBreaks count="1" manualBreakCount="1">
    <brk id="22" max="19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AH348"/>
  <sheetViews>
    <sheetView view="pageBreakPreview" zoomScale="50" zoomScaleNormal="60" zoomScaleSheetLayoutView="50" zoomScalePageLayoutView="0" workbookViewId="0" topLeftCell="A313">
      <selection activeCell="A192" sqref="A192:T192"/>
    </sheetView>
  </sheetViews>
  <sheetFormatPr defaultColWidth="9.00390625" defaultRowHeight="12.75"/>
  <cols>
    <col min="1" max="1" width="6.75390625" style="3" customWidth="1"/>
    <col min="2" max="2" width="25.875" style="95" customWidth="1"/>
    <col min="3" max="3" width="31.25390625" style="15" customWidth="1"/>
    <col min="4" max="4" width="12.00390625" style="2" customWidth="1"/>
    <col min="5" max="5" width="9.25390625" style="47" bestFit="1" customWidth="1"/>
    <col min="6" max="6" width="10.875" style="47" customWidth="1"/>
    <col min="7" max="7" width="8.75390625" style="47" customWidth="1"/>
    <col min="8" max="8" width="7.25390625" style="47" customWidth="1"/>
    <col min="9" max="9" width="11.375" style="47" bestFit="1" customWidth="1"/>
    <col min="10" max="10" width="12.75390625" style="47" bestFit="1" customWidth="1"/>
    <col min="11" max="11" width="10.375" style="47" bestFit="1" customWidth="1"/>
    <col min="12" max="12" width="11.125" style="49" customWidth="1"/>
    <col min="13" max="13" width="18.125" style="49" customWidth="1"/>
    <col min="14" max="14" width="12.625" style="49" customWidth="1"/>
    <col min="15" max="15" width="16.375" style="78" customWidth="1"/>
    <col min="16" max="16" width="11.25390625" style="78" hidden="1" customWidth="1"/>
    <col min="17" max="17" width="8.125" style="51" customWidth="1"/>
    <col min="18" max="18" width="8.875" style="49" customWidth="1"/>
    <col min="19" max="19" width="7.875" style="49" customWidth="1"/>
    <col min="20" max="20" width="7.625" style="49" customWidth="1"/>
    <col min="21" max="34" width="9.125" style="11" customWidth="1"/>
    <col min="35" max="16384" width="9.125" style="1" customWidth="1"/>
  </cols>
  <sheetData>
    <row r="1" spans="9:20" ht="18" customHeight="1">
      <c r="I1" s="927"/>
      <c r="J1" s="927"/>
      <c r="K1" s="48"/>
      <c r="L1" s="375"/>
      <c r="Q1" s="928" t="s">
        <v>399</v>
      </c>
      <c r="R1" s="928"/>
      <c r="S1" s="928"/>
      <c r="T1" s="928"/>
    </row>
    <row r="2" spans="1:20" ht="26.25" customHeight="1">
      <c r="A2" s="929" t="s">
        <v>568</v>
      </c>
      <c r="B2" s="929"/>
      <c r="C2" s="929"/>
      <c r="D2" s="929"/>
      <c r="E2" s="929"/>
      <c r="F2" s="929"/>
      <c r="G2" s="929"/>
      <c r="H2" s="929"/>
      <c r="I2" s="929"/>
      <c r="J2" s="929"/>
      <c r="K2" s="929"/>
      <c r="L2" s="929"/>
      <c r="M2" s="929"/>
      <c r="N2" s="929"/>
      <c r="O2" s="929"/>
      <c r="P2" s="929"/>
      <c r="Q2" s="929"/>
      <c r="R2" s="929"/>
      <c r="S2" s="929"/>
      <c r="T2" s="929"/>
    </row>
    <row r="3" spans="1:20" ht="11.25" customHeight="1">
      <c r="A3" s="4"/>
      <c r="B3" s="96"/>
      <c r="C3" s="18"/>
      <c r="D3" s="5"/>
      <c r="E3" s="50"/>
      <c r="F3" s="50"/>
      <c r="G3" s="50"/>
      <c r="H3" s="50"/>
      <c r="I3" s="50"/>
      <c r="J3" s="50"/>
      <c r="K3" s="50"/>
      <c r="L3" s="375"/>
      <c r="R3" s="930"/>
      <c r="S3" s="930"/>
      <c r="T3" s="930"/>
    </row>
    <row r="4" spans="1:20" ht="39.75" customHeight="1">
      <c r="A4" s="932" t="s">
        <v>377</v>
      </c>
      <c r="B4" s="926" t="s">
        <v>374</v>
      </c>
      <c r="C4" s="926" t="s">
        <v>392</v>
      </c>
      <c r="D4" s="926" t="s">
        <v>372</v>
      </c>
      <c r="E4" s="910" t="s">
        <v>385</v>
      </c>
      <c r="F4" s="910"/>
      <c r="G4" s="910"/>
      <c r="H4" s="910"/>
      <c r="I4" s="910"/>
      <c r="J4" s="910"/>
      <c r="K4" s="910"/>
      <c r="L4" s="887" t="s">
        <v>786</v>
      </c>
      <c r="M4" s="931" t="s">
        <v>432</v>
      </c>
      <c r="N4" s="925" t="s">
        <v>398</v>
      </c>
      <c r="O4" s="923" t="s">
        <v>433</v>
      </c>
      <c r="P4" s="924" t="s">
        <v>680</v>
      </c>
      <c r="Q4" s="925" t="s">
        <v>387</v>
      </c>
      <c r="R4" s="925"/>
      <c r="S4" s="925"/>
      <c r="T4" s="925"/>
    </row>
    <row r="5" spans="1:20" ht="85.5" customHeight="1">
      <c r="A5" s="866"/>
      <c r="B5" s="926"/>
      <c r="C5" s="926"/>
      <c r="D5" s="926"/>
      <c r="E5" s="70" t="s">
        <v>386</v>
      </c>
      <c r="F5" s="70" t="s">
        <v>376</v>
      </c>
      <c r="G5" s="70" t="s">
        <v>375</v>
      </c>
      <c r="H5" s="70" t="s">
        <v>373</v>
      </c>
      <c r="I5" s="71" t="s">
        <v>382</v>
      </c>
      <c r="J5" s="71" t="s">
        <v>480</v>
      </c>
      <c r="K5" s="71" t="s">
        <v>383</v>
      </c>
      <c r="L5" s="887"/>
      <c r="M5" s="931"/>
      <c r="N5" s="925"/>
      <c r="O5" s="923"/>
      <c r="P5" s="924"/>
      <c r="Q5" s="111" t="s">
        <v>388</v>
      </c>
      <c r="R5" s="111" t="s">
        <v>389</v>
      </c>
      <c r="S5" s="111" t="s">
        <v>390</v>
      </c>
      <c r="T5" s="111" t="s">
        <v>391</v>
      </c>
    </row>
    <row r="6" spans="1:20" ht="15" customHeight="1">
      <c r="A6" s="920"/>
      <c r="B6" s="921" t="s">
        <v>435</v>
      </c>
      <c r="C6" s="921"/>
      <c r="D6" s="21">
        <v>2010</v>
      </c>
      <c r="E6" s="23">
        <f aca="true" t="shared" si="0" ref="E6:K10">E16+E22+E35+E60+E118+E133+E256+E287</f>
        <v>830.3100000000001</v>
      </c>
      <c r="F6" s="23">
        <f t="shared" si="0"/>
        <v>222.70000000000002</v>
      </c>
      <c r="G6" s="23">
        <f t="shared" si="0"/>
        <v>15.2</v>
      </c>
      <c r="H6" s="23">
        <f t="shared" si="0"/>
        <v>5.800000000000001</v>
      </c>
      <c r="I6" s="23">
        <f t="shared" si="0"/>
        <v>548.61</v>
      </c>
      <c r="J6" s="23">
        <f t="shared" si="0"/>
        <v>38</v>
      </c>
      <c r="K6" s="23">
        <f t="shared" si="0"/>
        <v>0</v>
      </c>
      <c r="L6" s="922"/>
      <c r="M6" s="922"/>
      <c r="N6" s="79">
        <f>N16+N22+N35+N60+N118+N133+N256+N287</f>
        <v>976.1688000000001</v>
      </c>
      <c r="O6" s="79">
        <f>O16+O22+O35+O252+O60+O118+O133+O256+367</f>
        <v>934.5299999999999</v>
      </c>
      <c r="P6" s="79"/>
      <c r="Q6" s="79">
        <f aca="true" t="shared" si="1" ref="Q6:T10">Q16+Q22+Q35+Q60+Q118+Q133+Q256+Q287</f>
        <v>730.250419912</v>
      </c>
      <c r="R6" s="79">
        <f t="shared" si="1"/>
        <v>467.38427600000006</v>
      </c>
      <c r="S6" s="79">
        <f t="shared" si="1"/>
        <v>223.8371007384</v>
      </c>
      <c r="T6" s="79">
        <f t="shared" si="1"/>
        <v>39.029043173599995</v>
      </c>
    </row>
    <row r="7" spans="1:20" ht="15">
      <c r="A7" s="920"/>
      <c r="B7" s="921"/>
      <c r="C7" s="921"/>
      <c r="D7" s="21">
        <v>2011</v>
      </c>
      <c r="E7" s="23">
        <f t="shared" si="0"/>
        <v>2593.2544444444443</v>
      </c>
      <c r="F7" s="23">
        <f t="shared" si="0"/>
        <v>885.0483333333333</v>
      </c>
      <c r="G7" s="23">
        <f t="shared" si="0"/>
        <v>11.811111111111112</v>
      </c>
      <c r="H7" s="23">
        <f t="shared" si="0"/>
        <v>21.61</v>
      </c>
      <c r="I7" s="23">
        <f t="shared" si="0"/>
        <v>1398.9850000000001</v>
      </c>
      <c r="J7" s="23">
        <f t="shared" si="0"/>
        <v>275.8</v>
      </c>
      <c r="K7" s="23">
        <f t="shared" si="0"/>
        <v>0</v>
      </c>
      <c r="L7" s="922"/>
      <c r="M7" s="922"/>
      <c r="N7" s="79">
        <f>N17+N23+N36+N61+N119+N134+N257+N288</f>
        <v>1106.76255</v>
      </c>
      <c r="O7" s="79">
        <f>O17+O23+O36+O253+O61+O119+O134+O257+367</f>
        <v>863.2550000000001</v>
      </c>
      <c r="P7" s="79"/>
      <c r="Q7" s="79">
        <f t="shared" si="1"/>
        <v>856.4161096619999</v>
      </c>
      <c r="R7" s="79">
        <f t="shared" si="1"/>
        <v>579.2336510000001</v>
      </c>
      <c r="S7" s="79">
        <f t="shared" si="1"/>
        <v>233.91672106340002</v>
      </c>
      <c r="T7" s="79">
        <f t="shared" si="1"/>
        <v>43.2657375986</v>
      </c>
    </row>
    <row r="8" spans="1:20" ht="15">
      <c r="A8" s="920"/>
      <c r="B8" s="921"/>
      <c r="C8" s="921"/>
      <c r="D8" s="21">
        <v>2012</v>
      </c>
      <c r="E8" s="23">
        <f t="shared" si="0"/>
        <v>2835.9744444444445</v>
      </c>
      <c r="F8" s="23">
        <f t="shared" si="0"/>
        <v>888.0649999999999</v>
      </c>
      <c r="G8" s="23">
        <f t="shared" si="0"/>
        <v>11.811111111111112</v>
      </c>
      <c r="H8" s="23">
        <f t="shared" si="0"/>
        <v>27.11</v>
      </c>
      <c r="I8" s="23">
        <f t="shared" si="0"/>
        <v>1494.555</v>
      </c>
      <c r="J8" s="23">
        <f t="shared" si="0"/>
        <v>414.4</v>
      </c>
      <c r="K8" s="23">
        <f t="shared" si="0"/>
        <v>0</v>
      </c>
      <c r="L8" s="922"/>
      <c r="M8" s="922"/>
      <c r="N8" s="79">
        <f>N18+N24+N37+N62+N120+N135+N258+N289</f>
        <v>1109.8629</v>
      </c>
      <c r="O8" s="79">
        <f>O18+O24+O37+O254+O62+O120+O135+O258+367</f>
        <v>642.0575</v>
      </c>
      <c r="P8" s="79"/>
      <c r="Q8" s="79">
        <f t="shared" si="1"/>
        <v>857.451914752</v>
      </c>
      <c r="R8" s="79">
        <f t="shared" si="1"/>
        <v>580.795958</v>
      </c>
      <c r="S8" s="79">
        <f t="shared" si="1"/>
        <v>233.7111697264</v>
      </c>
      <c r="T8" s="79">
        <f t="shared" si="1"/>
        <v>42.94478702559999</v>
      </c>
    </row>
    <row r="9" spans="1:20" ht="15">
      <c r="A9" s="920"/>
      <c r="B9" s="921"/>
      <c r="C9" s="921"/>
      <c r="D9" s="21">
        <v>2013</v>
      </c>
      <c r="E9" s="23">
        <f t="shared" si="0"/>
        <v>3884.22</v>
      </c>
      <c r="F9" s="23">
        <f t="shared" si="0"/>
        <v>1388.7649999999999</v>
      </c>
      <c r="G9" s="23">
        <f t="shared" si="0"/>
        <v>550.65</v>
      </c>
      <c r="H9" s="23">
        <f t="shared" si="0"/>
        <v>36.37</v>
      </c>
      <c r="I9" s="23">
        <f t="shared" si="0"/>
        <v>1504.035</v>
      </c>
      <c r="J9" s="23">
        <f t="shared" si="0"/>
        <v>404.4</v>
      </c>
      <c r="K9" s="23">
        <f t="shared" si="0"/>
        <v>0</v>
      </c>
      <c r="L9" s="922"/>
      <c r="M9" s="922"/>
      <c r="N9" s="79">
        <f>N19+N25+N38+N63+N121+N136+N259+N290</f>
        <v>1116.29385</v>
      </c>
      <c r="O9" s="79">
        <f>O19+O25+O38+O255+O63+O121+O136+O259+367</f>
        <v>664.7525</v>
      </c>
      <c r="P9" s="79"/>
      <c r="Q9" s="79">
        <f t="shared" si="1"/>
        <v>877.5101061819998</v>
      </c>
      <c r="R9" s="79">
        <f t="shared" si="1"/>
        <v>591.509677</v>
      </c>
      <c r="S9" s="79">
        <f t="shared" si="1"/>
        <v>241.2673004274</v>
      </c>
      <c r="T9" s="79">
        <f t="shared" si="1"/>
        <v>44.733128754599996</v>
      </c>
    </row>
    <row r="10" spans="1:20" ht="15">
      <c r="A10" s="920"/>
      <c r="B10" s="921"/>
      <c r="C10" s="921"/>
      <c r="D10" s="21">
        <v>2014</v>
      </c>
      <c r="E10" s="23">
        <f t="shared" si="0"/>
        <v>3853.6616666666664</v>
      </c>
      <c r="F10" s="23">
        <f t="shared" si="0"/>
        <v>1543.2316666666666</v>
      </c>
      <c r="G10" s="23">
        <f t="shared" si="0"/>
        <v>564.8</v>
      </c>
      <c r="H10" s="23">
        <f t="shared" si="0"/>
        <v>34.445</v>
      </c>
      <c r="I10" s="23">
        <f t="shared" si="0"/>
        <v>1306.785</v>
      </c>
      <c r="J10" s="23">
        <f t="shared" si="0"/>
        <v>404.4</v>
      </c>
      <c r="K10" s="23">
        <f t="shared" si="0"/>
        <v>0</v>
      </c>
      <c r="L10" s="922"/>
      <c r="M10" s="922"/>
      <c r="N10" s="79">
        <f>N20+N26+N39+N64+N122+N137+N260+N291</f>
        <v>1133.3282249999997</v>
      </c>
      <c r="O10" s="79">
        <f>O20+O26+O39+O256+O64+O122+O137+O260+367</f>
        <v>697.6775</v>
      </c>
      <c r="P10" s="79"/>
      <c r="Q10" s="79">
        <f t="shared" si="1"/>
        <v>881.2294869386</v>
      </c>
      <c r="R10" s="79">
        <f t="shared" si="1"/>
        <v>595.1541145</v>
      </c>
      <c r="S10" s="79">
        <f t="shared" si="1"/>
        <v>241.08846070702003</v>
      </c>
      <c r="T10" s="79">
        <f t="shared" si="1"/>
        <v>44.98691173158</v>
      </c>
    </row>
    <row r="11" spans="1:20" ht="15">
      <c r="A11" s="920"/>
      <c r="B11" s="921"/>
      <c r="C11" s="921"/>
      <c r="D11" s="21" t="s">
        <v>378</v>
      </c>
      <c r="E11" s="23">
        <f>SUM(E6:E10)</f>
        <v>13997.420555555555</v>
      </c>
      <c r="F11" s="23">
        <f aca="true" t="shared" si="2" ref="F11:K11">SUM(F6:F10)</f>
        <v>4927.8099999999995</v>
      </c>
      <c r="G11" s="23">
        <f t="shared" si="2"/>
        <v>1154.2722222222221</v>
      </c>
      <c r="H11" s="23">
        <f t="shared" si="2"/>
        <v>125.33499999999998</v>
      </c>
      <c r="I11" s="23">
        <f t="shared" si="2"/>
        <v>6252.97</v>
      </c>
      <c r="J11" s="23">
        <f t="shared" si="2"/>
        <v>1537</v>
      </c>
      <c r="K11" s="23">
        <f t="shared" si="2"/>
        <v>0</v>
      </c>
      <c r="L11" s="922"/>
      <c r="M11" s="922"/>
      <c r="N11" s="79">
        <f>SUM(N6:N10)</f>
        <v>5442.416325</v>
      </c>
      <c r="O11" s="79">
        <f>O15+O27+O40+O65+O254+O123+O138+O261+367*5</f>
        <v>3801.4725</v>
      </c>
      <c r="P11" s="79"/>
      <c r="Q11" s="79">
        <f>SUM(Q6:Q10)</f>
        <v>4202.858037446599</v>
      </c>
      <c r="R11" s="79">
        <f>SUM(R6:R10)</f>
        <v>2814.0776765000005</v>
      </c>
      <c r="S11" s="79">
        <f>SUM(S6:S10)</f>
        <v>1173.82075266262</v>
      </c>
      <c r="T11" s="79">
        <f>SUM(T6:T10)</f>
        <v>214.95960828397997</v>
      </c>
    </row>
    <row r="12" spans="1:20" ht="15.75" customHeight="1">
      <c r="A12" s="915" t="s">
        <v>380</v>
      </c>
      <c r="B12" s="915"/>
      <c r="C12" s="915"/>
      <c r="D12" s="915"/>
      <c r="E12" s="915"/>
      <c r="F12" s="915"/>
      <c r="G12" s="915"/>
      <c r="H12" s="915"/>
      <c r="I12" s="915"/>
      <c r="J12" s="915"/>
      <c r="K12" s="915"/>
      <c r="L12" s="915"/>
      <c r="M12" s="915"/>
      <c r="N12" s="915"/>
      <c r="O12" s="915"/>
      <c r="P12" s="915"/>
      <c r="Q12" s="915"/>
      <c r="R12" s="915"/>
      <c r="S12" s="915"/>
      <c r="T12" s="915"/>
    </row>
    <row r="13" spans="1:20" ht="15.75" customHeight="1" hidden="1">
      <c r="A13" s="72"/>
      <c r="B13" s="72"/>
      <c r="C13" s="72"/>
      <c r="D13" s="72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80"/>
      <c r="P13" s="80"/>
      <c r="Q13" s="73"/>
      <c r="R13" s="73"/>
      <c r="S13" s="73"/>
      <c r="T13" s="73"/>
    </row>
    <row r="14" spans="1:20" ht="15" customHeight="1" hidden="1">
      <c r="A14" s="872" t="s">
        <v>436</v>
      </c>
      <c r="B14" s="872"/>
      <c r="C14" s="872"/>
      <c r="D14" s="872"/>
      <c r="E14" s="872"/>
      <c r="F14" s="872"/>
      <c r="G14" s="872"/>
      <c r="H14" s="872"/>
      <c r="I14" s="872"/>
      <c r="J14" s="872"/>
      <c r="K14" s="872"/>
      <c r="L14" s="872"/>
      <c r="M14" s="872"/>
      <c r="N14" s="872"/>
      <c r="O14" s="872"/>
      <c r="P14" s="872"/>
      <c r="Q14" s="872"/>
      <c r="R14" s="872"/>
      <c r="S14" s="872"/>
      <c r="T14" s="872"/>
    </row>
    <row r="15" spans="1:34" s="39" customFormat="1" ht="15" customHeight="1" hidden="1">
      <c r="A15" s="893"/>
      <c r="B15" s="882"/>
      <c r="C15" s="893"/>
      <c r="D15" s="74"/>
      <c r="E15" s="35"/>
      <c r="F15" s="35"/>
      <c r="G15" s="35"/>
      <c r="H15" s="35"/>
      <c r="I15" s="35"/>
      <c r="J15" s="35"/>
      <c r="K15" s="35"/>
      <c r="L15" s="903"/>
      <c r="M15" s="903"/>
      <c r="N15" s="878"/>
      <c r="O15" s="29"/>
      <c r="P15" s="26"/>
      <c r="Q15" s="26"/>
      <c r="R15" s="26"/>
      <c r="S15" s="26"/>
      <c r="T15" s="26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</row>
    <row r="16" spans="1:34" s="39" customFormat="1" ht="15" customHeight="1" hidden="1">
      <c r="A16" s="893"/>
      <c r="B16" s="916"/>
      <c r="C16" s="883"/>
      <c r="D16" s="27"/>
      <c r="E16" s="16"/>
      <c r="F16" s="26"/>
      <c r="G16" s="16"/>
      <c r="H16" s="16"/>
      <c r="I16" s="26"/>
      <c r="J16" s="16"/>
      <c r="K16" s="16"/>
      <c r="L16" s="917"/>
      <c r="M16" s="918"/>
      <c r="N16" s="878"/>
      <c r="O16" s="29"/>
      <c r="P16" s="29"/>
      <c r="Q16" s="26"/>
      <c r="R16" s="26"/>
      <c r="S16" s="26"/>
      <c r="T16" s="26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</row>
    <row r="17" spans="1:34" s="39" customFormat="1" ht="15" customHeight="1" hidden="1">
      <c r="A17" s="893"/>
      <c r="B17" s="916"/>
      <c r="C17" s="883"/>
      <c r="D17" s="27"/>
      <c r="E17" s="16"/>
      <c r="F17" s="26"/>
      <c r="G17" s="16"/>
      <c r="H17" s="16"/>
      <c r="I17" s="26"/>
      <c r="J17" s="16"/>
      <c r="K17" s="16"/>
      <c r="L17" s="917"/>
      <c r="M17" s="918"/>
      <c r="N17" s="878"/>
      <c r="O17" s="29"/>
      <c r="P17" s="29"/>
      <c r="Q17" s="26"/>
      <c r="R17" s="26"/>
      <c r="S17" s="26"/>
      <c r="T17" s="26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</row>
    <row r="18" spans="1:34" s="39" customFormat="1" ht="15" customHeight="1" hidden="1">
      <c r="A18" s="893"/>
      <c r="B18" s="916"/>
      <c r="C18" s="883"/>
      <c r="D18" s="27"/>
      <c r="E18" s="16"/>
      <c r="F18" s="26"/>
      <c r="G18" s="16"/>
      <c r="H18" s="16"/>
      <c r="I18" s="26"/>
      <c r="J18" s="16"/>
      <c r="K18" s="16"/>
      <c r="L18" s="917"/>
      <c r="M18" s="918"/>
      <c r="N18" s="878"/>
      <c r="O18" s="29"/>
      <c r="P18" s="29"/>
      <c r="Q18" s="26"/>
      <c r="R18" s="26"/>
      <c r="S18" s="26"/>
      <c r="T18" s="26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</row>
    <row r="19" spans="1:34" s="39" customFormat="1" ht="15" customHeight="1" hidden="1">
      <c r="A19" s="893"/>
      <c r="B19" s="916"/>
      <c r="C19" s="883"/>
      <c r="D19" s="27"/>
      <c r="E19" s="16"/>
      <c r="F19" s="26"/>
      <c r="G19" s="16"/>
      <c r="H19" s="16"/>
      <c r="I19" s="26"/>
      <c r="J19" s="16"/>
      <c r="K19" s="16"/>
      <c r="L19" s="917"/>
      <c r="M19" s="918"/>
      <c r="N19" s="878"/>
      <c r="O19" s="29"/>
      <c r="P19" s="29"/>
      <c r="Q19" s="26"/>
      <c r="R19" s="26"/>
      <c r="S19" s="26"/>
      <c r="T19" s="26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</row>
    <row r="20" spans="1:34" s="44" customFormat="1" ht="15" customHeight="1" hidden="1">
      <c r="A20" s="893"/>
      <c r="B20" s="916"/>
      <c r="C20" s="883"/>
      <c r="D20" s="27"/>
      <c r="E20" s="16"/>
      <c r="F20" s="26"/>
      <c r="G20" s="16"/>
      <c r="H20" s="16"/>
      <c r="I20" s="26"/>
      <c r="J20" s="16"/>
      <c r="K20" s="16"/>
      <c r="L20" s="917"/>
      <c r="M20" s="918"/>
      <c r="N20" s="878"/>
      <c r="O20" s="29"/>
      <c r="P20" s="29"/>
      <c r="Q20" s="26"/>
      <c r="R20" s="26"/>
      <c r="S20" s="26"/>
      <c r="T20" s="26"/>
      <c r="U20" s="356"/>
      <c r="V20" s="356"/>
      <c r="W20" s="356"/>
      <c r="X20" s="356"/>
      <c r="Y20" s="356"/>
      <c r="Z20" s="356"/>
      <c r="AA20" s="356"/>
      <c r="AB20" s="356"/>
      <c r="AC20" s="356"/>
      <c r="AD20" s="356"/>
      <c r="AE20" s="356"/>
      <c r="AF20" s="356"/>
      <c r="AG20" s="356"/>
      <c r="AH20" s="356"/>
    </row>
    <row r="21" spans="1:34" s="94" customFormat="1" ht="15.75" customHeight="1">
      <c r="A21" s="872" t="s">
        <v>175</v>
      </c>
      <c r="B21" s="872"/>
      <c r="C21" s="872"/>
      <c r="D21" s="872"/>
      <c r="E21" s="872"/>
      <c r="F21" s="872"/>
      <c r="G21" s="872"/>
      <c r="H21" s="872"/>
      <c r="I21" s="872"/>
      <c r="J21" s="872"/>
      <c r="K21" s="872"/>
      <c r="L21" s="872"/>
      <c r="M21" s="872"/>
      <c r="N21" s="872"/>
      <c r="O21" s="872"/>
      <c r="P21" s="872"/>
      <c r="Q21" s="872"/>
      <c r="R21" s="872"/>
      <c r="S21" s="872"/>
      <c r="T21" s="872"/>
      <c r="U21" s="356"/>
      <c r="V21" s="356"/>
      <c r="W21" s="356"/>
      <c r="X21" s="356"/>
      <c r="Y21" s="356"/>
      <c r="Z21" s="356"/>
      <c r="AA21" s="356"/>
      <c r="AB21" s="356"/>
      <c r="AC21" s="356"/>
      <c r="AD21" s="356"/>
      <c r="AE21" s="356"/>
      <c r="AF21" s="356"/>
      <c r="AG21" s="356"/>
      <c r="AH21" s="356"/>
    </row>
    <row r="22" spans="1:20" ht="15">
      <c r="A22" s="911"/>
      <c r="B22" s="895" t="s">
        <v>646</v>
      </c>
      <c r="C22" s="895"/>
      <c r="D22" s="42">
        <v>2010</v>
      </c>
      <c r="E22" s="43">
        <f>E29</f>
        <v>0</v>
      </c>
      <c r="F22" s="43">
        <f aca="true" t="shared" si="3" ref="F22:K22">F29</f>
        <v>0</v>
      </c>
      <c r="G22" s="43">
        <f t="shared" si="3"/>
        <v>0</v>
      </c>
      <c r="H22" s="43">
        <f t="shared" si="3"/>
        <v>0</v>
      </c>
      <c r="I22" s="43">
        <f t="shared" si="3"/>
        <v>0</v>
      </c>
      <c r="J22" s="43">
        <f t="shared" si="3"/>
        <v>0</v>
      </c>
      <c r="K22" s="43">
        <f t="shared" si="3"/>
        <v>0</v>
      </c>
      <c r="L22" s="912"/>
      <c r="M22" s="43"/>
      <c r="N22" s="43">
        <f>N29</f>
        <v>110</v>
      </c>
      <c r="O22" s="43">
        <f aca="true" t="shared" si="4" ref="O22:T22">O29</f>
        <v>150</v>
      </c>
      <c r="P22" s="43">
        <f t="shared" si="4"/>
        <v>69.6</v>
      </c>
      <c r="Q22" s="43">
        <f t="shared" si="4"/>
        <v>69.6</v>
      </c>
      <c r="R22" s="43">
        <f t="shared" si="4"/>
        <v>43.2</v>
      </c>
      <c r="S22" s="43">
        <f t="shared" si="4"/>
        <v>23.4</v>
      </c>
      <c r="T22" s="43">
        <f t="shared" si="4"/>
        <v>3</v>
      </c>
    </row>
    <row r="23" spans="1:20" ht="15">
      <c r="A23" s="911"/>
      <c r="B23" s="895"/>
      <c r="C23" s="895"/>
      <c r="D23" s="42">
        <v>2011</v>
      </c>
      <c r="E23" s="43">
        <f aca="true" t="shared" si="5" ref="E23:K26">E30</f>
        <v>466.1111111111111</v>
      </c>
      <c r="F23" s="43">
        <f t="shared" si="5"/>
        <v>95.5</v>
      </c>
      <c r="G23" s="43">
        <f t="shared" si="5"/>
        <v>10.611111111111112</v>
      </c>
      <c r="H23" s="43">
        <f t="shared" si="5"/>
        <v>0</v>
      </c>
      <c r="I23" s="43">
        <f t="shared" si="5"/>
        <v>360</v>
      </c>
      <c r="J23" s="43">
        <f t="shared" si="5"/>
        <v>0</v>
      </c>
      <c r="K23" s="43">
        <f t="shared" si="5"/>
        <v>0</v>
      </c>
      <c r="L23" s="913"/>
      <c r="M23" s="43"/>
      <c r="N23" s="43">
        <f aca="true" t="shared" si="6" ref="N23:T26">N30</f>
        <v>110</v>
      </c>
      <c r="O23" s="43">
        <f t="shared" si="6"/>
        <v>0</v>
      </c>
      <c r="P23" s="43">
        <f t="shared" si="6"/>
        <v>69.6</v>
      </c>
      <c r="Q23" s="43">
        <f t="shared" si="6"/>
        <v>69.6</v>
      </c>
      <c r="R23" s="43">
        <f t="shared" si="6"/>
        <v>43.2</v>
      </c>
      <c r="S23" s="43">
        <f t="shared" si="6"/>
        <v>23.4</v>
      </c>
      <c r="T23" s="43">
        <f t="shared" si="6"/>
        <v>3</v>
      </c>
    </row>
    <row r="24" spans="1:20" ht="15">
      <c r="A24" s="911"/>
      <c r="B24" s="895"/>
      <c r="C24" s="895"/>
      <c r="D24" s="42">
        <v>2012</v>
      </c>
      <c r="E24" s="43">
        <f t="shared" si="5"/>
        <v>606.1111111111111</v>
      </c>
      <c r="F24" s="43">
        <f t="shared" si="5"/>
        <v>95.5</v>
      </c>
      <c r="G24" s="43">
        <f t="shared" si="5"/>
        <v>10.611111111111112</v>
      </c>
      <c r="H24" s="43">
        <f t="shared" si="5"/>
        <v>0</v>
      </c>
      <c r="I24" s="43">
        <f t="shared" si="5"/>
        <v>500</v>
      </c>
      <c r="J24" s="43">
        <f t="shared" si="5"/>
        <v>0</v>
      </c>
      <c r="K24" s="43">
        <f t="shared" si="5"/>
        <v>0</v>
      </c>
      <c r="L24" s="913"/>
      <c r="M24" s="43"/>
      <c r="N24" s="43">
        <f t="shared" si="6"/>
        <v>110</v>
      </c>
      <c r="O24" s="43">
        <f t="shared" si="6"/>
        <v>0</v>
      </c>
      <c r="P24" s="43">
        <f t="shared" si="6"/>
        <v>69.6</v>
      </c>
      <c r="Q24" s="43">
        <f t="shared" si="6"/>
        <v>69.6</v>
      </c>
      <c r="R24" s="43">
        <f t="shared" si="6"/>
        <v>43.2</v>
      </c>
      <c r="S24" s="43">
        <f t="shared" si="6"/>
        <v>23.4</v>
      </c>
      <c r="T24" s="43">
        <f t="shared" si="6"/>
        <v>3</v>
      </c>
    </row>
    <row r="25" spans="1:20" ht="15">
      <c r="A25" s="911"/>
      <c r="B25" s="895"/>
      <c r="C25" s="895"/>
      <c r="D25" s="42">
        <v>2013</v>
      </c>
      <c r="E25" s="43">
        <f t="shared" si="5"/>
        <v>500</v>
      </c>
      <c r="F25" s="43">
        <f t="shared" si="5"/>
        <v>0</v>
      </c>
      <c r="G25" s="43">
        <f t="shared" si="5"/>
        <v>0</v>
      </c>
      <c r="H25" s="43">
        <f t="shared" si="5"/>
        <v>0</v>
      </c>
      <c r="I25" s="43">
        <f t="shared" si="5"/>
        <v>500</v>
      </c>
      <c r="J25" s="43">
        <f t="shared" si="5"/>
        <v>0</v>
      </c>
      <c r="K25" s="43">
        <f t="shared" si="5"/>
        <v>0</v>
      </c>
      <c r="L25" s="913"/>
      <c r="M25" s="43"/>
      <c r="N25" s="43">
        <f t="shared" si="6"/>
        <v>110</v>
      </c>
      <c r="O25" s="43">
        <f t="shared" si="6"/>
        <v>0</v>
      </c>
      <c r="P25" s="43">
        <f t="shared" si="6"/>
        <v>69.6</v>
      </c>
      <c r="Q25" s="43">
        <f t="shared" si="6"/>
        <v>69.6</v>
      </c>
      <c r="R25" s="43">
        <f t="shared" si="6"/>
        <v>43.2</v>
      </c>
      <c r="S25" s="43">
        <f t="shared" si="6"/>
        <v>23.4</v>
      </c>
      <c r="T25" s="43">
        <f t="shared" si="6"/>
        <v>3</v>
      </c>
    </row>
    <row r="26" spans="1:20" ht="15">
      <c r="A26" s="911"/>
      <c r="B26" s="895"/>
      <c r="C26" s="895"/>
      <c r="D26" s="42">
        <v>2014</v>
      </c>
      <c r="E26" s="43">
        <f t="shared" si="5"/>
        <v>0</v>
      </c>
      <c r="F26" s="43">
        <f t="shared" si="5"/>
        <v>0</v>
      </c>
      <c r="G26" s="43">
        <f t="shared" si="5"/>
        <v>0</v>
      </c>
      <c r="H26" s="43">
        <f t="shared" si="5"/>
        <v>0</v>
      </c>
      <c r="I26" s="43">
        <f t="shared" si="5"/>
        <v>0</v>
      </c>
      <c r="J26" s="43">
        <f t="shared" si="5"/>
        <v>0</v>
      </c>
      <c r="K26" s="43">
        <f t="shared" si="5"/>
        <v>0</v>
      </c>
      <c r="L26" s="913"/>
      <c r="M26" s="43"/>
      <c r="N26" s="43">
        <f t="shared" si="6"/>
        <v>110</v>
      </c>
      <c r="O26" s="43">
        <f t="shared" si="6"/>
        <v>0</v>
      </c>
      <c r="P26" s="43">
        <f t="shared" si="6"/>
        <v>69.6</v>
      </c>
      <c r="Q26" s="43">
        <f t="shared" si="6"/>
        <v>69.6</v>
      </c>
      <c r="R26" s="43">
        <f t="shared" si="6"/>
        <v>43.2</v>
      </c>
      <c r="S26" s="43">
        <f t="shared" si="6"/>
        <v>23.4</v>
      </c>
      <c r="T26" s="43">
        <f t="shared" si="6"/>
        <v>3</v>
      </c>
    </row>
    <row r="27" spans="1:20" ht="20.25" customHeight="1">
      <c r="A27" s="911"/>
      <c r="B27" s="895"/>
      <c r="C27" s="895"/>
      <c r="D27" s="42" t="s">
        <v>378</v>
      </c>
      <c r="E27" s="40">
        <f>SUM(E22:E26)</f>
        <v>1572.2222222222222</v>
      </c>
      <c r="F27" s="40">
        <f aca="true" t="shared" si="7" ref="F27:K27">SUM(F22:F26)</f>
        <v>191</v>
      </c>
      <c r="G27" s="40">
        <f t="shared" si="7"/>
        <v>21.222222222222225</v>
      </c>
      <c r="H27" s="40">
        <f t="shared" si="7"/>
        <v>0</v>
      </c>
      <c r="I27" s="40">
        <f t="shared" si="7"/>
        <v>1360</v>
      </c>
      <c r="J27" s="40">
        <f t="shared" si="7"/>
        <v>0</v>
      </c>
      <c r="K27" s="40">
        <f t="shared" si="7"/>
        <v>0</v>
      </c>
      <c r="L27" s="914"/>
      <c r="M27" s="40"/>
      <c r="N27" s="40">
        <f aca="true" t="shared" si="8" ref="N27:T27">SUM(N22:N26)</f>
        <v>550</v>
      </c>
      <c r="O27" s="40">
        <f t="shared" si="8"/>
        <v>150</v>
      </c>
      <c r="P27" s="40">
        <f t="shared" si="8"/>
        <v>348</v>
      </c>
      <c r="Q27" s="40">
        <f t="shared" si="8"/>
        <v>348</v>
      </c>
      <c r="R27" s="40">
        <f t="shared" si="8"/>
        <v>216</v>
      </c>
      <c r="S27" s="40">
        <f t="shared" si="8"/>
        <v>117</v>
      </c>
      <c r="T27" s="40">
        <f t="shared" si="8"/>
        <v>15</v>
      </c>
    </row>
    <row r="28" spans="1:20" ht="15" customHeight="1">
      <c r="A28" s="893">
        <v>1</v>
      </c>
      <c r="B28" s="962" t="s">
        <v>137</v>
      </c>
      <c r="C28" s="893" t="s">
        <v>51</v>
      </c>
      <c r="D28" s="74" t="s">
        <v>570</v>
      </c>
      <c r="E28" s="35">
        <f>SUM(E29:E32)</f>
        <v>1572.2222222222222</v>
      </c>
      <c r="F28" s="35">
        <f aca="true" t="shared" si="9" ref="F28:K28">SUM(F29:F32)</f>
        <v>191</v>
      </c>
      <c r="G28" s="35">
        <f t="shared" si="9"/>
        <v>21.222222222222225</v>
      </c>
      <c r="H28" s="35">
        <f t="shared" si="9"/>
        <v>0</v>
      </c>
      <c r="I28" s="35">
        <f t="shared" si="9"/>
        <v>1360</v>
      </c>
      <c r="J28" s="35">
        <f t="shared" si="9"/>
        <v>0</v>
      </c>
      <c r="K28" s="35">
        <f t="shared" si="9"/>
        <v>0</v>
      </c>
      <c r="L28" s="903" t="s">
        <v>792</v>
      </c>
      <c r="M28" s="904" t="s">
        <v>52</v>
      </c>
      <c r="N28" s="77">
        <f>SUM(N29:N33)</f>
        <v>550</v>
      </c>
      <c r="O28" s="359">
        <f>SUM(O29:O33)</f>
        <v>150</v>
      </c>
      <c r="P28" s="77">
        <f>SUM(P29:P33)</f>
        <v>348</v>
      </c>
      <c r="Q28" s="69">
        <f aca="true" t="shared" si="10" ref="Q28:Q33">SUM(R28:T28)</f>
        <v>348</v>
      </c>
      <c r="R28" s="69">
        <f>SUM(R29:R33)</f>
        <v>216</v>
      </c>
      <c r="S28" s="69">
        <f>SUM(S29:S33)</f>
        <v>117</v>
      </c>
      <c r="T28" s="69">
        <f>SUM(T29:T33)</f>
        <v>15</v>
      </c>
    </row>
    <row r="29" spans="1:20" ht="15">
      <c r="A29" s="893"/>
      <c r="B29" s="962"/>
      <c r="C29" s="893"/>
      <c r="D29" s="27">
        <v>2010</v>
      </c>
      <c r="E29" s="16">
        <f>SUM(F29:K29)</f>
        <v>0</v>
      </c>
      <c r="F29" s="26"/>
      <c r="G29" s="26"/>
      <c r="H29" s="26"/>
      <c r="I29" s="26"/>
      <c r="J29" s="26"/>
      <c r="K29" s="16"/>
      <c r="L29" s="903"/>
      <c r="M29" s="904"/>
      <c r="N29" s="26">
        <v>110</v>
      </c>
      <c r="O29" s="29">
        <v>150</v>
      </c>
      <c r="P29" s="26">
        <v>69.6</v>
      </c>
      <c r="Q29" s="45">
        <f t="shared" si="10"/>
        <v>69.6</v>
      </c>
      <c r="R29" s="26">
        <v>43.2</v>
      </c>
      <c r="S29" s="26">
        <v>23.4</v>
      </c>
      <c r="T29" s="26">
        <v>3</v>
      </c>
    </row>
    <row r="30" spans="1:20" ht="15">
      <c r="A30" s="893"/>
      <c r="B30" s="962"/>
      <c r="C30" s="893"/>
      <c r="D30" s="27">
        <v>2011</v>
      </c>
      <c r="E30" s="16">
        <f>SUM(F30:K30)</f>
        <v>466.1111111111111</v>
      </c>
      <c r="F30" s="26">
        <f>191/2</f>
        <v>95.5</v>
      </c>
      <c r="G30" s="26">
        <f>F30/0.9*0.1</f>
        <v>10.611111111111112</v>
      </c>
      <c r="H30" s="26"/>
      <c r="I30" s="26">
        <v>360</v>
      </c>
      <c r="J30" s="26"/>
      <c r="K30" s="16"/>
      <c r="L30" s="903"/>
      <c r="M30" s="904"/>
      <c r="N30" s="26">
        <v>110</v>
      </c>
      <c r="O30" s="29">
        <v>0</v>
      </c>
      <c r="P30" s="26">
        <v>69.6</v>
      </c>
      <c r="Q30" s="45">
        <f t="shared" si="10"/>
        <v>69.6</v>
      </c>
      <c r="R30" s="26">
        <v>43.2</v>
      </c>
      <c r="S30" s="26">
        <v>23.4</v>
      </c>
      <c r="T30" s="26">
        <v>3</v>
      </c>
    </row>
    <row r="31" spans="1:20" ht="15">
      <c r="A31" s="893"/>
      <c r="B31" s="962"/>
      <c r="C31" s="893"/>
      <c r="D31" s="27">
        <v>2012</v>
      </c>
      <c r="E31" s="16">
        <f>SUM(F31:K31)</f>
        <v>606.1111111111111</v>
      </c>
      <c r="F31" s="26">
        <f>191/2</f>
        <v>95.5</v>
      </c>
      <c r="G31" s="26">
        <f>F31/0.9*0.1</f>
        <v>10.611111111111112</v>
      </c>
      <c r="H31" s="26"/>
      <c r="I31" s="26">
        <v>500</v>
      </c>
      <c r="J31" s="26"/>
      <c r="K31" s="16"/>
      <c r="L31" s="903"/>
      <c r="M31" s="904"/>
      <c r="N31" s="26">
        <v>110</v>
      </c>
      <c r="O31" s="29">
        <v>0</v>
      </c>
      <c r="P31" s="26">
        <v>69.6</v>
      </c>
      <c r="Q31" s="45">
        <f t="shared" si="10"/>
        <v>69.6</v>
      </c>
      <c r="R31" s="26">
        <v>43.2</v>
      </c>
      <c r="S31" s="26">
        <v>23.4</v>
      </c>
      <c r="T31" s="26">
        <v>3</v>
      </c>
    </row>
    <row r="32" spans="1:20" ht="15">
      <c r="A32" s="893"/>
      <c r="B32" s="962"/>
      <c r="C32" s="893"/>
      <c r="D32" s="27">
        <v>2013</v>
      </c>
      <c r="E32" s="16">
        <f>SUM(F32:K32)</f>
        <v>500</v>
      </c>
      <c r="F32" s="26"/>
      <c r="G32" s="26"/>
      <c r="H32" s="26"/>
      <c r="I32" s="26">
        <v>500</v>
      </c>
      <c r="J32" s="26"/>
      <c r="K32" s="16"/>
      <c r="L32" s="903"/>
      <c r="M32" s="904"/>
      <c r="N32" s="26">
        <v>110</v>
      </c>
      <c r="O32" s="29">
        <v>0</v>
      </c>
      <c r="P32" s="26">
        <v>69.6</v>
      </c>
      <c r="Q32" s="45">
        <f t="shared" si="10"/>
        <v>69.6</v>
      </c>
      <c r="R32" s="26">
        <v>43.2</v>
      </c>
      <c r="S32" s="26">
        <v>23.4</v>
      </c>
      <c r="T32" s="26">
        <v>3</v>
      </c>
    </row>
    <row r="33" spans="1:20" ht="15">
      <c r="A33" s="893"/>
      <c r="B33" s="962"/>
      <c r="C33" s="893"/>
      <c r="D33" s="27">
        <v>2014</v>
      </c>
      <c r="E33" s="16">
        <f>SUM(F33:K33)</f>
        <v>0</v>
      </c>
      <c r="F33" s="107"/>
      <c r="G33" s="107"/>
      <c r="H33" s="107"/>
      <c r="I33" s="107"/>
      <c r="J33" s="107"/>
      <c r="K33" s="107"/>
      <c r="L33" s="903"/>
      <c r="M33" s="904"/>
      <c r="N33" s="26">
        <v>110</v>
      </c>
      <c r="O33" s="29">
        <v>0</v>
      </c>
      <c r="P33" s="26">
        <v>69.6</v>
      </c>
      <c r="Q33" s="45">
        <f t="shared" si="10"/>
        <v>69.6</v>
      </c>
      <c r="R33" s="26">
        <v>43.2</v>
      </c>
      <c r="S33" s="26">
        <v>23.4</v>
      </c>
      <c r="T33" s="26">
        <v>3</v>
      </c>
    </row>
    <row r="34" spans="1:20" ht="15" customHeight="1">
      <c r="A34" s="894" t="s">
        <v>176</v>
      </c>
      <c r="B34" s="894"/>
      <c r="C34" s="894"/>
      <c r="D34" s="894"/>
      <c r="E34" s="894"/>
      <c r="F34" s="894"/>
      <c r="G34" s="894"/>
      <c r="H34" s="894"/>
      <c r="I34" s="894"/>
      <c r="J34" s="894"/>
      <c r="K34" s="894"/>
      <c r="L34" s="894"/>
      <c r="M34" s="894"/>
      <c r="N34" s="894"/>
      <c r="O34" s="894"/>
      <c r="P34" s="894"/>
      <c r="Q34" s="894"/>
      <c r="R34" s="894"/>
      <c r="S34" s="894"/>
      <c r="T34" s="894"/>
    </row>
    <row r="35" spans="1:20" ht="15">
      <c r="A35" s="902"/>
      <c r="B35" s="895" t="s">
        <v>646</v>
      </c>
      <c r="C35" s="895"/>
      <c r="D35" s="41">
        <v>2010</v>
      </c>
      <c r="E35" s="52">
        <f>E42+E48+E54</f>
        <v>7.95</v>
      </c>
      <c r="F35" s="52">
        <f aca="true" t="shared" si="11" ref="F35:K35">F42+F48+F54</f>
        <v>0</v>
      </c>
      <c r="G35" s="52">
        <f t="shared" si="11"/>
        <v>0</v>
      </c>
      <c r="H35" s="52">
        <f t="shared" si="11"/>
        <v>0</v>
      </c>
      <c r="I35" s="52">
        <f t="shared" si="11"/>
        <v>3.95</v>
      </c>
      <c r="J35" s="52">
        <f t="shared" si="11"/>
        <v>4</v>
      </c>
      <c r="K35" s="52">
        <f t="shared" si="11"/>
        <v>0</v>
      </c>
      <c r="L35" s="875"/>
      <c r="M35" s="875"/>
      <c r="N35" s="52">
        <f>N42+N48+N54</f>
        <v>5.475</v>
      </c>
      <c r="O35" s="52">
        <f aca="true" t="shared" si="12" ref="O35:T35">O42+O48+O54</f>
        <v>33.5</v>
      </c>
      <c r="P35" s="52">
        <f t="shared" si="12"/>
        <v>33.5</v>
      </c>
      <c r="Q35" s="52">
        <f t="shared" si="12"/>
        <v>5.3999999999999995</v>
      </c>
      <c r="R35" s="52">
        <f t="shared" si="12"/>
        <v>2.7899999999999996</v>
      </c>
      <c r="S35" s="52">
        <f t="shared" si="12"/>
        <v>2.01</v>
      </c>
      <c r="T35" s="52">
        <f t="shared" si="12"/>
        <v>0.6000000000000001</v>
      </c>
    </row>
    <row r="36" spans="1:20" ht="15">
      <c r="A36" s="902"/>
      <c r="B36" s="895"/>
      <c r="C36" s="895"/>
      <c r="D36" s="41">
        <v>2011</v>
      </c>
      <c r="E36" s="52">
        <f aca="true" t="shared" si="13" ref="E36:K37">E43+E49+E55</f>
        <v>7.8</v>
      </c>
      <c r="F36" s="52">
        <f t="shared" si="13"/>
        <v>0</v>
      </c>
      <c r="G36" s="52">
        <f t="shared" si="13"/>
        <v>0</v>
      </c>
      <c r="H36" s="52">
        <f t="shared" si="13"/>
        <v>0</v>
      </c>
      <c r="I36" s="52">
        <f t="shared" si="13"/>
        <v>3.8</v>
      </c>
      <c r="J36" s="52">
        <f t="shared" si="13"/>
        <v>4</v>
      </c>
      <c r="K36" s="52">
        <f t="shared" si="13"/>
        <v>0</v>
      </c>
      <c r="L36" s="875"/>
      <c r="M36" s="875"/>
      <c r="N36" s="52">
        <f aca="true" t="shared" si="14" ref="N36:T37">N43+N49+N55</f>
        <v>9.975000000000001</v>
      </c>
      <c r="O36" s="52">
        <f t="shared" si="14"/>
        <v>23.5</v>
      </c>
      <c r="P36" s="52">
        <f t="shared" si="14"/>
        <v>57</v>
      </c>
      <c r="Q36" s="52">
        <f t="shared" si="14"/>
        <v>10.059999999999999</v>
      </c>
      <c r="R36" s="52">
        <f t="shared" si="14"/>
        <v>5.579999999999999</v>
      </c>
      <c r="S36" s="52">
        <f t="shared" si="14"/>
        <v>3.28</v>
      </c>
      <c r="T36" s="52">
        <f t="shared" si="14"/>
        <v>1.2</v>
      </c>
    </row>
    <row r="37" spans="1:20" ht="15">
      <c r="A37" s="902"/>
      <c r="B37" s="895"/>
      <c r="C37" s="895"/>
      <c r="D37" s="42">
        <v>2012</v>
      </c>
      <c r="E37" s="52">
        <f t="shared" si="13"/>
        <v>6.95</v>
      </c>
      <c r="F37" s="52">
        <f t="shared" si="13"/>
        <v>0</v>
      </c>
      <c r="G37" s="52">
        <f t="shared" si="13"/>
        <v>0</v>
      </c>
      <c r="H37" s="52">
        <f t="shared" si="13"/>
        <v>0</v>
      </c>
      <c r="I37" s="52">
        <f t="shared" si="13"/>
        <v>2.95</v>
      </c>
      <c r="J37" s="52">
        <f t="shared" si="13"/>
        <v>4</v>
      </c>
      <c r="K37" s="52">
        <f t="shared" si="13"/>
        <v>0</v>
      </c>
      <c r="L37" s="875"/>
      <c r="M37" s="875"/>
      <c r="N37" s="52">
        <f t="shared" si="14"/>
        <v>14.475000000000001</v>
      </c>
      <c r="O37" s="52">
        <f t="shared" si="14"/>
        <v>23.5</v>
      </c>
      <c r="P37" s="52">
        <f t="shared" si="14"/>
        <v>80.5</v>
      </c>
      <c r="Q37" s="52">
        <f t="shared" si="14"/>
        <v>14.059999999999999</v>
      </c>
      <c r="R37" s="52">
        <f t="shared" si="14"/>
        <v>8.37</v>
      </c>
      <c r="S37" s="52">
        <f t="shared" si="14"/>
        <v>4.29</v>
      </c>
      <c r="T37" s="52">
        <f t="shared" si="14"/>
        <v>1.4</v>
      </c>
    </row>
    <row r="38" spans="1:20" ht="15">
      <c r="A38" s="902"/>
      <c r="B38" s="895"/>
      <c r="C38" s="895"/>
      <c r="D38" s="42">
        <v>2013</v>
      </c>
      <c r="E38" s="52">
        <f>E45+E51+E57</f>
        <v>5.95</v>
      </c>
      <c r="F38" s="52">
        <f aca="true" t="shared" si="15" ref="F38:K39">F45+F51+F57</f>
        <v>0</v>
      </c>
      <c r="G38" s="52">
        <f t="shared" si="15"/>
        <v>0</v>
      </c>
      <c r="H38" s="52">
        <f t="shared" si="15"/>
        <v>0</v>
      </c>
      <c r="I38" s="52">
        <f t="shared" si="15"/>
        <v>1.95</v>
      </c>
      <c r="J38" s="52">
        <f t="shared" si="15"/>
        <v>4</v>
      </c>
      <c r="K38" s="52">
        <f t="shared" si="15"/>
        <v>0</v>
      </c>
      <c r="L38" s="875"/>
      <c r="M38" s="875"/>
      <c r="N38" s="52">
        <f aca="true" t="shared" si="16" ref="N38:T39">N45+N51+N57</f>
        <v>18.975</v>
      </c>
      <c r="O38" s="82">
        <f t="shared" si="16"/>
        <v>23.5</v>
      </c>
      <c r="P38" s="52">
        <f t="shared" si="16"/>
        <v>104</v>
      </c>
      <c r="Q38" s="52">
        <f t="shared" si="16"/>
        <v>19.459999999999997</v>
      </c>
      <c r="R38" s="52">
        <f t="shared" si="16"/>
        <v>11.159999999999998</v>
      </c>
      <c r="S38" s="52">
        <f t="shared" si="16"/>
        <v>6.800000000000001</v>
      </c>
      <c r="T38" s="52">
        <f t="shared" si="16"/>
        <v>1.5</v>
      </c>
    </row>
    <row r="39" spans="1:20" ht="15">
      <c r="A39" s="902"/>
      <c r="B39" s="895"/>
      <c r="C39" s="895"/>
      <c r="D39" s="42">
        <v>2014</v>
      </c>
      <c r="E39" s="52">
        <f>E46+E52+E58</f>
        <v>5.95</v>
      </c>
      <c r="F39" s="52">
        <f t="shared" si="15"/>
        <v>0</v>
      </c>
      <c r="G39" s="52">
        <f t="shared" si="15"/>
        <v>0</v>
      </c>
      <c r="H39" s="52">
        <f t="shared" si="15"/>
        <v>0</v>
      </c>
      <c r="I39" s="52">
        <f t="shared" si="15"/>
        <v>1.95</v>
      </c>
      <c r="J39" s="52">
        <f t="shared" si="15"/>
        <v>4</v>
      </c>
      <c r="K39" s="52">
        <f t="shared" si="15"/>
        <v>0</v>
      </c>
      <c r="L39" s="875"/>
      <c r="M39" s="875"/>
      <c r="N39" s="52">
        <f t="shared" si="16"/>
        <v>23.475</v>
      </c>
      <c r="O39" s="82">
        <f t="shared" si="16"/>
        <v>23.5</v>
      </c>
      <c r="P39" s="52">
        <f t="shared" si="16"/>
        <v>127.5</v>
      </c>
      <c r="Q39" s="52">
        <f t="shared" si="16"/>
        <v>21.560000000000002</v>
      </c>
      <c r="R39" s="52">
        <f t="shared" si="16"/>
        <v>13.95</v>
      </c>
      <c r="S39" s="52">
        <f t="shared" si="16"/>
        <v>6.11</v>
      </c>
      <c r="T39" s="52">
        <f t="shared" si="16"/>
        <v>1.5</v>
      </c>
    </row>
    <row r="40" spans="1:20" ht="26.25" customHeight="1">
      <c r="A40" s="902"/>
      <c r="B40" s="895"/>
      <c r="C40" s="895"/>
      <c r="D40" s="41" t="s">
        <v>378</v>
      </c>
      <c r="E40" s="52">
        <f>SUM(E35:E39)</f>
        <v>34.6</v>
      </c>
      <c r="F40" s="52">
        <f aca="true" t="shared" si="17" ref="F40:K40">SUM(F35:F39)</f>
        <v>0</v>
      </c>
      <c r="G40" s="52">
        <f t="shared" si="17"/>
        <v>0</v>
      </c>
      <c r="H40" s="52">
        <f t="shared" si="17"/>
        <v>0</v>
      </c>
      <c r="I40" s="52">
        <f t="shared" si="17"/>
        <v>14.599999999999998</v>
      </c>
      <c r="J40" s="52">
        <f t="shared" si="17"/>
        <v>20</v>
      </c>
      <c r="K40" s="52">
        <f t="shared" si="17"/>
        <v>0</v>
      </c>
      <c r="L40" s="875"/>
      <c r="M40" s="875"/>
      <c r="N40" s="52">
        <f aca="true" t="shared" si="18" ref="N40:T40">SUM(N35:N39)</f>
        <v>72.375</v>
      </c>
      <c r="O40" s="82">
        <f t="shared" si="18"/>
        <v>127.5</v>
      </c>
      <c r="P40" s="52">
        <f t="shared" si="18"/>
        <v>402.5</v>
      </c>
      <c r="Q40" s="52">
        <f t="shared" si="18"/>
        <v>70.53999999999999</v>
      </c>
      <c r="R40" s="52">
        <f t="shared" si="18"/>
        <v>41.849999999999994</v>
      </c>
      <c r="S40" s="52">
        <f t="shared" si="18"/>
        <v>22.49</v>
      </c>
      <c r="T40" s="52">
        <f t="shared" si="18"/>
        <v>6.2</v>
      </c>
    </row>
    <row r="41" spans="1:34" s="39" customFormat="1" ht="15" customHeight="1">
      <c r="A41" s="897">
        <v>2</v>
      </c>
      <c r="B41" s="898" t="s">
        <v>143</v>
      </c>
      <c r="C41" s="961" t="s">
        <v>558</v>
      </c>
      <c r="D41" s="129" t="s">
        <v>570</v>
      </c>
      <c r="E41" s="77">
        <f>SUM(E42:E46)</f>
        <v>15</v>
      </c>
      <c r="F41" s="77">
        <f aca="true" t="shared" si="19" ref="F41:K41">SUM(F42:F46)</f>
        <v>0</v>
      </c>
      <c r="G41" s="77">
        <f t="shared" si="19"/>
        <v>0</v>
      </c>
      <c r="H41" s="77">
        <f t="shared" si="19"/>
        <v>0</v>
      </c>
      <c r="I41" s="77">
        <f t="shared" si="19"/>
        <v>5</v>
      </c>
      <c r="J41" s="77">
        <f t="shared" si="19"/>
        <v>10</v>
      </c>
      <c r="K41" s="77">
        <f t="shared" si="19"/>
        <v>0</v>
      </c>
      <c r="L41" s="903" t="s">
        <v>792</v>
      </c>
      <c r="M41" s="960" t="s">
        <v>638</v>
      </c>
      <c r="N41" s="57">
        <f aca="true" t="shared" si="20" ref="N41:T41">SUM(N42:N46)</f>
        <v>67.5</v>
      </c>
      <c r="O41" s="85">
        <f t="shared" si="20"/>
        <v>60</v>
      </c>
      <c r="P41" s="85"/>
      <c r="Q41" s="57">
        <f t="shared" si="20"/>
        <v>55.39999999999999</v>
      </c>
      <c r="R41" s="57">
        <f t="shared" si="20"/>
        <v>41.849999999999994</v>
      </c>
      <c r="S41" s="57">
        <f t="shared" si="20"/>
        <v>13.049999999999999</v>
      </c>
      <c r="T41" s="57">
        <f t="shared" si="20"/>
        <v>0.5</v>
      </c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</row>
    <row r="42" spans="1:34" s="39" customFormat="1" ht="15">
      <c r="A42" s="897"/>
      <c r="B42" s="898"/>
      <c r="C42" s="961"/>
      <c r="D42" s="31">
        <v>2010</v>
      </c>
      <c r="E42" s="26">
        <f aca="true" t="shared" si="21" ref="E42:E58">SUM(F42:K42)</f>
        <v>3</v>
      </c>
      <c r="F42" s="257"/>
      <c r="G42" s="257"/>
      <c r="H42" s="257"/>
      <c r="I42" s="257">
        <v>1</v>
      </c>
      <c r="J42" s="257">
        <v>2</v>
      </c>
      <c r="K42" s="257"/>
      <c r="L42" s="903"/>
      <c r="M42" s="960"/>
      <c r="N42" s="57">
        <f>((500*300*500)/1000000*0.3)/10*2</f>
        <v>4.5</v>
      </c>
      <c r="O42" s="85">
        <v>12</v>
      </c>
      <c r="P42" s="29">
        <f>O42</f>
        <v>12</v>
      </c>
      <c r="Q42" s="57">
        <f>SUM(R42:T42)</f>
        <v>3.7999999999999994</v>
      </c>
      <c r="R42" s="57">
        <f>N42/0.3*0.18+N42*0.02</f>
        <v>2.7899999999999996</v>
      </c>
      <c r="S42" s="57">
        <f>0.1+N42*0.18</f>
        <v>0.9099999999999999</v>
      </c>
      <c r="T42" s="57">
        <v>0.1</v>
      </c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</row>
    <row r="43" spans="1:34" s="39" customFormat="1" ht="15">
      <c r="A43" s="897"/>
      <c r="B43" s="898"/>
      <c r="C43" s="961"/>
      <c r="D43" s="31">
        <v>2011</v>
      </c>
      <c r="E43" s="26">
        <f t="shared" si="21"/>
        <v>3</v>
      </c>
      <c r="F43" s="257"/>
      <c r="G43" s="257"/>
      <c r="H43" s="257"/>
      <c r="I43" s="257">
        <v>1</v>
      </c>
      <c r="J43" s="257">
        <v>2</v>
      </c>
      <c r="K43" s="257"/>
      <c r="L43" s="903"/>
      <c r="M43" s="960"/>
      <c r="N43" s="57">
        <f>((500*300*500)/1000000*0.3)/10*4</f>
        <v>9</v>
      </c>
      <c r="O43" s="85">
        <v>12</v>
      </c>
      <c r="P43" s="29">
        <f>P42+O43</f>
        <v>24</v>
      </c>
      <c r="Q43" s="57">
        <f>SUM(R43:T43)</f>
        <v>7.499999999999998</v>
      </c>
      <c r="R43" s="57">
        <f>N43/0.3*0.18+N43*0.02</f>
        <v>5.579999999999999</v>
      </c>
      <c r="S43" s="57">
        <f>0.2+N43*0.18</f>
        <v>1.8199999999999998</v>
      </c>
      <c r="T43" s="57">
        <v>0.1</v>
      </c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</row>
    <row r="44" spans="1:34" s="39" customFormat="1" ht="15">
      <c r="A44" s="897"/>
      <c r="B44" s="898"/>
      <c r="C44" s="961"/>
      <c r="D44" s="31">
        <v>2012</v>
      </c>
      <c r="E44" s="26">
        <f t="shared" si="21"/>
        <v>3</v>
      </c>
      <c r="F44" s="257"/>
      <c r="G44" s="257"/>
      <c r="H44" s="257"/>
      <c r="I44" s="257">
        <v>1</v>
      </c>
      <c r="J44" s="257">
        <v>2</v>
      </c>
      <c r="K44" s="257"/>
      <c r="L44" s="903"/>
      <c r="M44" s="960"/>
      <c r="N44" s="57">
        <f>((500*300*500)/1000000*0.3)/10*6</f>
        <v>13.5</v>
      </c>
      <c r="O44" s="85">
        <v>12</v>
      </c>
      <c r="P44" s="29">
        <f>P43+O44</f>
        <v>36</v>
      </c>
      <c r="Q44" s="57">
        <f>SUM(R44:T44)</f>
        <v>11.1</v>
      </c>
      <c r="R44" s="57">
        <f>N44/0.3*0.18+N44*0.02</f>
        <v>8.37</v>
      </c>
      <c r="S44" s="57">
        <f>0.2+N44*0.18</f>
        <v>2.63</v>
      </c>
      <c r="T44" s="57">
        <v>0.1</v>
      </c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</row>
    <row r="45" spans="1:20" ht="15" customHeight="1">
      <c r="A45" s="897"/>
      <c r="B45" s="898"/>
      <c r="C45" s="961"/>
      <c r="D45" s="31">
        <v>2013</v>
      </c>
      <c r="E45" s="26">
        <f t="shared" si="21"/>
        <v>3</v>
      </c>
      <c r="F45" s="257"/>
      <c r="G45" s="257"/>
      <c r="H45" s="257"/>
      <c r="I45" s="257">
        <v>1</v>
      </c>
      <c r="J45" s="257">
        <v>2</v>
      </c>
      <c r="K45" s="257"/>
      <c r="L45" s="903"/>
      <c r="M45" s="960"/>
      <c r="N45" s="57">
        <f>((500*300*500)/1000000*0.3)/10*8</f>
        <v>18</v>
      </c>
      <c r="O45" s="85">
        <v>12</v>
      </c>
      <c r="P45" s="29">
        <f>P44+O45</f>
        <v>48</v>
      </c>
      <c r="Q45" s="57">
        <f>SUM(R45:T45)</f>
        <v>14.699999999999998</v>
      </c>
      <c r="R45" s="57">
        <f>N45/0.3*0.18+N45*0.02</f>
        <v>11.159999999999998</v>
      </c>
      <c r="S45" s="57">
        <f>0.2+N45*0.18</f>
        <v>3.44</v>
      </c>
      <c r="T45" s="57">
        <v>0.1</v>
      </c>
    </row>
    <row r="46" spans="1:20" ht="15" customHeight="1">
      <c r="A46" s="897"/>
      <c r="B46" s="898"/>
      <c r="C46" s="961"/>
      <c r="D46" s="31">
        <v>2014</v>
      </c>
      <c r="E46" s="26">
        <f t="shared" si="21"/>
        <v>3</v>
      </c>
      <c r="F46" s="257"/>
      <c r="G46" s="257"/>
      <c r="H46" s="257"/>
      <c r="I46" s="257">
        <v>1</v>
      </c>
      <c r="J46" s="257">
        <v>2</v>
      </c>
      <c r="K46" s="257"/>
      <c r="L46" s="903"/>
      <c r="M46" s="960"/>
      <c r="N46" s="57">
        <f>((500*300*500)/1000000*0.3)</f>
        <v>22.5</v>
      </c>
      <c r="O46" s="85">
        <v>12</v>
      </c>
      <c r="P46" s="29">
        <f>P45+O46</f>
        <v>60</v>
      </c>
      <c r="Q46" s="57">
        <f>SUM(R46:T46)</f>
        <v>18.3</v>
      </c>
      <c r="R46" s="57">
        <f>N46/0.3*0.18+N46*0.02</f>
        <v>13.95</v>
      </c>
      <c r="S46" s="57">
        <f>0.2+N46*0.18</f>
        <v>4.25</v>
      </c>
      <c r="T46" s="57">
        <v>0.1</v>
      </c>
    </row>
    <row r="47" spans="1:20" ht="15" customHeight="1">
      <c r="A47" s="897">
        <f>A41+1</f>
        <v>3</v>
      </c>
      <c r="B47" s="898" t="s">
        <v>559</v>
      </c>
      <c r="C47" s="961" t="s">
        <v>558</v>
      </c>
      <c r="D47" s="129" t="s">
        <v>570</v>
      </c>
      <c r="E47" s="77">
        <f aca="true" t="shared" si="22" ref="E47:K47">SUM(E48:E52)</f>
        <v>15</v>
      </c>
      <c r="F47" s="77">
        <f t="shared" si="22"/>
        <v>0</v>
      </c>
      <c r="G47" s="77">
        <f t="shared" si="22"/>
        <v>0</v>
      </c>
      <c r="H47" s="77">
        <f t="shared" si="22"/>
        <v>0</v>
      </c>
      <c r="I47" s="77">
        <f t="shared" si="22"/>
        <v>5</v>
      </c>
      <c r="J47" s="77">
        <f t="shared" si="22"/>
        <v>10</v>
      </c>
      <c r="K47" s="77">
        <f t="shared" si="22"/>
        <v>0</v>
      </c>
      <c r="L47" s="903" t="s">
        <v>792</v>
      </c>
      <c r="M47" s="960" t="s">
        <v>560</v>
      </c>
      <c r="N47" s="57">
        <f aca="true" t="shared" si="23" ref="N47:T47">SUM(N48:N52)</f>
        <v>3.375</v>
      </c>
      <c r="O47" s="85">
        <f t="shared" si="23"/>
        <v>10</v>
      </c>
      <c r="P47" s="85"/>
      <c r="Q47" s="57">
        <f t="shared" si="23"/>
        <v>1.24</v>
      </c>
      <c r="R47" s="57">
        <f t="shared" si="23"/>
        <v>0</v>
      </c>
      <c r="S47" s="57">
        <f t="shared" si="23"/>
        <v>0.7400000000000001</v>
      </c>
      <c r="T47" s="57">
        <f t="shared" si="23"/>
        <v>0.5</v>
      </c>
    </row>
    <row r="48" spans="1:20" ht="15" customHeight="1">
      <c r="A48" s="897"/>
      <c r="B48" s="898"/>
      <c r="C48" s="961"/>
      <c r="D48" s="31">
        <v>2010</v>
      </c>
      <c r="E48" s="26">
        <f t="shared" si="21"/>
        <v>4</v>
      </c>
      <c r="F48" s="257"/>
      <c r="G48" s="257"/>
      <c r="H48" s="257"/>
      <c r="I48" s="257">
        <v>2</v>
      </c>
      <c r="J48" s="257">
        <v>2</v>
      </c>
      <c r="K48" s="257"/>
      <c r="L48" s="903"/>
      <c r="M48" s="960"/>
      <c r="N48" s="57">
        <f>90*1000*50*0.15/1000000</f>
        <v>0.675</v>
      </c>
      <c r="O48" s="85">
        <v>10</v>
      </c>
      <c r="P48" s="29">
        <f>O48</f>
        <v>10</v>
      </c>
      <c r="Q48" s="57">
        <f>SUM(R48:T48)</f>
        <v>0.2</v>
      </c>
      <c r="R48" s="57"/>
      <c r="S48" s="57">
        <v>0.1</v>
      </c>
      <c r="T48" s="57">
        <v>0.1</v>
      </c>
    </row>
    <row r="49" spans="1:20" ht="15" customHeight="1">
      <c r="A49" s="897"/>
      <c r="B49" s="898"/>
      <c r="C49" s="961"/>
      <c r="D49" s="31">
        <v>2011</v>
      </c>
      <c r="E49" s="26">
        <f t="shared" si="21"/>
        <v>4</v>
      </c>
      <c r="F49" s="257"/>
      <c r="G49" s="257"/>
      <c r="H49" s="257"/>
      <c r="I49" s="257">
        <v>2</v>
      </c>
      <c r="J49" s="257">
        <v>2</v>
      </c>
      <c r="K49" s="257"/>
      <c r="L49" s="903"/>
      <c r="M49" s="960"/>
      <c r="N49" s="57">
        <f>90*1000*50*0.15/1000000</f>
        <v>0.675</v>
      </c>
      <c r="O49" s="85">
        <v>0</v>
      </c>
      <c r="P49" s="29">
        <f>P48+O49</f>
        <v>10</v>
      </c>
      <c r="Q49" s="57">
        <f>SUM(R49:T49)</f>
        <v>0.26</v>
      </c>
      <c r="R49" s="57"/>
      <c r="S49" s="57">
        <v>0.16</v>
      </c>
      <c r="T49" s="57">
        <v>0.1</v>
      </c>
    </row>
    <row r="50" spans="1:20" ht="15" customHeight="1">
      <c r="A50" s="897"/>
      <c r="B50" s="898"/>
      <c r="C50" s="961"/>
      <c r="D50" s="31">
        <v>2012</v>
      </c>
      <c r="E50" s="26">
        <f t="shared" si="21"/>
        <v>3</v>
      </c>
      <c r="F50" s="257"/>
      <c r="G50" s="257"/>
      <c r="H50" s="257"/>
      <c r="I50" s="257">
        <v>1</v>
      </c>
      <c r="J50" s="257">
        <v>2</v>
      </c>
      <c r="K50" s="257"/>
      <c r="L50" s="903"/>
      <c r="M50" s="960"/>
      <c r="N50" s="57">
        <f>90*1000*50*0.15/1000000</f>
        <v>0.675</v>
      </c>
      <c r="O50" s="85">
        <v>0</v>
      </c>
      <c r="P50" s="29">
        <f>P49+O50</f>
        <v>10</v>
      </c>
      <c r="Q50" s="57">
        <f>SUM(R50:T50)</f>
        <v>0.26</v>
      </c>
      <c r="R50" s="57"/>
      <c r="S50" s="57">
        <v>0.16</v>
      </c>
      <c r="T50" s="57">
        <v>0.1</v>
      </c>
    </row>
    <row r="51" spans="1:20" ht="24" customHeight="1">
      <c r="A51" s="897"/>
      <c r="B51" s="898"/>
      <c r="C51" s="961"/>
      <c r="D51" s="31">
        <v>2013</v>
      </c>
      <c r="E51" s="26">
        <f t="shared" si="21"/>
        <v>2</v>
      </c>
      <c r="F51" s="257"/>
      <c r="G51" s="257"/>
      <c r="H51" s="257"/>
      <c r="I51" s="257"/>
      <c r="J51" s="257">
        <v>2</v>
      </c>
      <c r="K51" s="257"/>
      <c r="L51" s="903"/>
      <c r="M51" s="960"/>
      <c r="N51" s="57">
        <f>90*1000*50*0.15/1000000</f>
        <v>0.675</v>
      </c>
      <c r="O51" s="85">
        <v>0</v>
      </c>
      <c r="P51" s="29">
        <f>P50+O51</f>
        <v>10</v>
      </c>
      <c r="Q51" s="57">
        <f>SUM(R51:T51)</f>
        <v>0.26</v>
      </c>
      <c r="R51" s="57"/>
      <c r="S51" s="57">
        <v>0.16</v>
      </c>
      <c r="T51" s="57">
        <v>0.1</v>
      </c>
    </row>
    <row r="52" spans="1:20" ht="15" customHeight="1">
      <c r="A52" s="897"/>
      <c r="B52" s="898"/>
      <c r="C52" s="961"/>
      <c r="D52" s="31">
        <v>2014</v>
      </c>
      <c r="E52" s="26">
        <f t="shared" si="21"/>
        <v>2</v>
      </c>
      <c r="F52" s="257"/>
      <c r="G52" s="257"/>
      <c r="H52" s="257"/>
      <c r="I52" s="257"/>
      <c r="J52" s="257">
        <v>2</v>
      </c>
      <c r="K52" s="257"/>
      <c r="L52" s="903"/>
      <c r="M52" s="960"/>
      <c r="N52" s="57">
        <f>90*1000*50*0.15/1000000</f>
        <v>0.675</v>
      </c>
      <c r="O52" s="85">
        <v>0</v>
      </c>
      <c r="P52" s="29">
        <f>P51+O52</f>
        <v>10</v>
      </c>
      <c r="Q52" s="57">
        <f>SUM(R52:T52)</f>
        <v>0.26</v>
      </c>
      <c r="R52" s="57"/>
      <c r="S52" s="57">
        <v>0.16</v>
      </c>
      <c r="T52" s="57">
        <v>0.1</v>
      </c>
    </row>
    <row r="53" spans="1:20" ht="15" customHeight="1">
      <c r="A53" s="897">
        <f>A47+1</f>
        <v>4</v>
      </c>
      <c r="B53" s="882" t="s">
        <v>639</v>
      </c>
      <c r="C53" s="893" t="s">
        <v>400</v>
      </c>
      <c r="D53" s="129" t="s">
        <v>570</v>
      </c>
      <c r="E53" s="77">
        <f aca="true" t="shared" si="24" ref="E53:K53">SUM(E54:E58)</f>
        <v>4.6000000000000005</v>
      </c>
      <c r="F53" s="77">
        <f t="shared" si="24"/>
        <v>0</v>
      </c>
      <c r="G53" s="77">
        <f t="shared" si="24"/>
        <v>0</v>
      </c>
      <c r="H53" s="77">
        <f t="shared" si="24"/>
        <v>0</v>
      </c>
      <c r="I53" s="77">
        <f t="shared" si="24"/>
        <v>4.6000000000000005</v>
      </c>
      <c r="J53" s="77">
        <f t="shared" si="24"/>
        <v>0</v>
      </c>
      <c r="K53" s="77">
        <f t="shared" si="24"/>
        <v>0</v>
      </c>
      <c r="L53" s="903" t="s">
        <v>792</v>
      </c>
      <c r="M53" s="960" t="s">
        <v>394</v>
      </c>
      <c r="N53" s="57">
        <f aca="true" t="shared" si="25" ref="N53:T53">SUM(N54:N58)</f>
        <v>1.5</v>
      </c>
      <c r="O53" s="85">
        <f t="shared" si="25"/>
        <v>57.5</v>
      </c>
      <c r="P53" s="85">
        <f t="shared" si="25"/>
        <v>172.5</v>
      </c>
      <c r="Q53" s="57">
        <f t="shared" si="25"/>
        <v>13.9</v>
      </c>
      <c r="R53" s="57">
        <f t="shared" si="25"/>
        <v>0</v>
      </c>
      <c r="S53" s="57">
        <f t="shared" si="25"/>
        <v>8.7</v>
      </c>
      <c r="T53" s="57">
        <f t="shared" si="25"/>
        <v>5.199999999999999</v>
      </c>
    </row>
    <row r="54" spans="1:20" ht="15" customHeight="1">
      <c r="A54" s="897"/>
      <c r="B54" s="882"/>
      <c r="C54" s="893"/>
      <c r="D54" s="33">
        <v>2010</v>
      </c>
      <c r="E54" s="26">
        <f t="shared" si="21"/>
        <v>0.95</v>
      </c>
      <c r="F54" s="258"/>
      <c r="G54" s="258"/>
      <c r="H54" s="258"/>
      <c r="I54" s="258">
        <f>1.9/2</f>
        <v>0.95</v>
      </c>
      <c r="J54" s="258"/>
      <c r="K54" s="258"/>
      <c r="L54" s="903"/>
      <c r="M54" s="960"/>
      <c r="N54" s="32">
        <f>0.6/2</f>
        <v>0.3</v>
      </c>
      <c r="O54" s="86">
        <f>23/2</f>
        <v>11.5</v>
      </c>
      <c r="P54" s="29">
        <f>O54</f>
        <v>11.5</v>
      </c>
      <c r="Q54" s="57">
        <f>SUM(R54:T54)</f>
        <v>1.4</v>
      </c>
      <c r="R54" s="59"/>
      <c r="S54" s="32">
        <f>2/2</f>
        <v>1</v>
      </c>
      <c r="T54" s="32">
        <v>0.4</v>
      </c>
    </row>
    <row r="55" spans="1:20" ht="15" customHeight="1">
      <c r="A55" s="897"/>
      <c r="B55" s="882"/>
      <c r="C55" s="893"/>
      <c r="D55" s="33">
        <v>2011</v>
      </c>
      <c r="E55" s="26">
        <f t="shared" si="21"/>
        <v>0.8</v>
      </c>
      <c r="F55" s="258"/>
      <c r="G55" s="258"/>
      <c r="H55" s="258"/>
      <c r="I55" s="258">
        <v>0.8</v>
      </c>
      <c r="J55" s="258"/>
      <c r="K55" s="258"/>
      <c r="L55" s="903"/>
      <c r="M55" s="960"/>
      <c r="N55" s="32">
        <f>0.6/2</f>
        <v>0.3</v>
      </c>
      <c r="O55" s="86">
        <f>23/2</f>
        <v>11.5</v>
      </c>
      <c r="P55" s="29">
        <f>P54+O55</f>
        <v>23</v>
      </c>
      <c r="Q55" s="57">
        <f>SUM(R55:T55)</f>
        <v>2.3</v>
      </c>
      <c r="R55" s="59"/>
      <c r="S55" s="32">
        <f>2.6/2</f>
        <v>1.3</v>
      </c>
      <c r="T55" s="32">
        <v>1</v>
      </c>
    </row>
    <row r="56" spans="1:20" ht="15" customHeight="1">
      <c r="A56" s="897"/>
      <c r="B56" s="882"/>
      <c r="C56" s="893"/>
      <c r="D56" s="33">
        <v>2012</v>
      </c>
      <c r="E56" s="26">
        <f t="shared" si="21"/>
        <v>0.95</v>
      </c>
      <c r="F56" s="258"/>
      <c r="G56" s="258"/>
      <c r="H56" s="258"/>
      <c r="I56" s="258">
        <f>1.9/2</f>
        <v>0.95</v>
      </c>
      <c r="J56" s="258"/>
      <c r="K56" s="258"/>
      <c r="L56" s="903"/>
      <c r="M56" s="960"/>
      <c r="N56" s="32">
        <f>0.6/2</f>
        <v>0.3</v>
      </c>
      <c r="O56" s="86">
        <f>23/2</f>
        <v>11.5</v>
      </c>
      <c r="P56" s="29">
        <f>P55+O56</f>
        <v>34.5</v>
      </c>
      <c r="Q56" s="57">
        <f>SUM(R56:T56)</f>
        <v>2.7</v>
      </c>
      <c r="R56" s="59"/>
      <c r="S56" s="32">
        <f>3/2</f>
        <v>1.5</v>
      </c>
      <c r="T56" s="32">
        <v>1.2</v>
      </c>
    </row>
    <row r="57" spans="1:20" ht="15" customHeight="1">
      <c r="A57" s="897"/>
      <c r="B57" s="882"/>
      <c r="C57" s="893"/>
      <c r="D57" s="33">
        <v>2013</v>
      </c>
      <c r="E57" s="26">
        <f t="shared" si="21"/>
        <v>0.95</v>
      </c>
      <c r="F57" s="258"/>
      <c r="G57" s="258"/>
      <c r="H57" s="258"/>
      <c r="I57" s="258">
        <f>1.9/2</f>
        <v>0.95</v>
      </c>
      <c r="J57" s="258"/>
      <c r="K57" s="258"/>
      <c r="L57" s="903"/>
      <c r="M57" s="960"/>
      <c r="N57" s="32">
        <f>0.6/2</f>
        <v>0.3</v>
      </c>
      <c r="O57" s="86">
        <f>23/2</f>
        <v>11.5</v>
      </c>
      <c r="P57" s="29">
        <f>P56+O57</f>
        <v>46</v>
      </c>
      <c r="Q57" s="57">
        <f>SUM(R57:T57)</f>
        <v>4.5</v>
      </c>
      <c r="R57" s="59"/>
      <c r="S57" s="32">
        <v>3.2</v>
      </c>
      <c r="T57" s="32">
        <v>1.3</v>
      </c>
    </row>
    <row r="58" spans="1:20" ht="15">
      <c r="A58" s="897"/>
      <c r="B58" s="882"/>
      <c r="C58" s="893"/>
      <c r="D58" s="33">
        <v>2014</v>
      </c>
      <c r="E58" s="26">
        <f t="shared" si="21"/>
        <v>0.95</v>
      </c>
      <c r="F58" s="258"/>
      <c r="G58" s="258"/>
      <c r="H58" s="258"/>
      <c r="I58" s="258">
        <f>1.9/2</f>
        <v>0.95</v>
      </c>
      <c r="J58" s="258"/>
      <c r="K58" s="258"/>
      <c r="L58" s="903"/>
      <c r="M58" s="960"/>
      <c r="N58" s="32">
        <f>0.6/2</f>
        <v>0.3</v>
      </c>
      <c r="O58" s="86">
        <f>23/2</f>
        <v>11.5</v>
      </c>
      <c r="P58" s="29">
        <f>P57+O58</f>
        <v>57.5</v>
      </c>
      <c r="Q58" s="57">
        <f>SUM(R58:T58)</f>
        <v>3</v>
      </c>
      <c r="R58" s="59"/>
      <c r="S58" s="32">
        <f>3.4/2</f>
        <v>1.7</v>
      </c>
      <c r="T58" s="32">
        <v>1.3</v>
      </c>
    </row>
    <row r="59" spans="1:20" ht="15.75">
      <c r="A59" s="894" t="s">
        <v>177</v>
      </c>
      <c r="B59" s="894"/>
      <c r="C59" s="894"/>
      <c r="D59" s="894"/>
      <c r="E59" s="894"/>
      <c r="F59" s="894"/>
      <c r="G59" s="894"/>
      <c r="H59" s="894"/>
      <c r="I59" s="894"/>
      <c r="J59" s="894"/>
      <c r="K59" s="894"/>
      <c r="L59" s="894"/>
      <c r="M59" s="894"/>
      <c r="N59" s="894"/>
      <c r="O59" s="894"/>
      <c r="P59" s="894"/>
      <c r="Q59" s="894"/>
      <c r="R59" s="894"/>
      <c r="S59" s="894"/>
      <c r="T59" s="894"/>
    </row>
    <row r="60" spans="1:20" ht="15">
      <c r="A60" s="902"/>
      <c r="B60" s="895" t="s">
        <v>646</v>
      </c>
      <c r="C60" s="895"/>
      <c r="D60" s="41">
        <v>2010</v>
      </c>
      <c r="E60" s="52">
        <f>E67+E99+E105+E111</f>
        <v>711.4</v>
      </c>
      <c r="F60" s="52">
        <f aca="true" t="shared" si="26" ref="F60:K60">F67+F99+F105+F111</f>
        <v>131</v>
      </c>
      <c r="G60" s="52">
        <f t="shared" si="26"/>
        <v>14</v>
      </c>
      <c r="H60" s="52">
        <f t="shared" si="26"/>
        <v>0.2</v>
      </c>
      <c r="I60" s="52">
        <f t="shared" si="26"/>
        <v>532.6</v>
      </c>
      <c r="J60" s="52">
        <f t="shared" si="26"/>
        <v>33.6</v>
      </c>
      <c r="K60" s="52">
        <f t="shared" si="26"/>
        <v>0</v>
      </c>
      <c r="L60" s="875"/>
      <c r="M60" s="875"/>
      <c r="N60" s="52">
        <f aca="true" t="shared" si="27" ref="N60:T60">N67+N99+N105+N111</f>
        <v>850.45</v>
      </c>
      <c r="O60" s="52">
        <f t="shared" si="27"/>
        <v>335</v>
      </c>
      <c r="P60" s="52">
        <f t="shared" si="27"/>
        <v>335</v>
      </c>
      <c r="Q60" s="52">
        <f t="shared" si="27"/>
        <v>640.733221072</v>
      </c>
      <c r="R60" s="52">
        <f t="shared" si="27"/>
        <v>410.60900000000004</v>
      </c>
      <c r="S60" s="52">
        <f t="shared" si="27"/>
        <v>195.5312547504</v>
      </c>
      <c r="T60" s="52">
        <f t="shared" si="27"/>
        <v>34.592966321599995</v>
      </c>
    </row>
    <row r="61" spans="1:20" ht="15">
      <c r="A61" s="902"/>
      <c r="B61" s="895"/>
      <c r="C61" s="895"/>
      <c r="D61" s="41">
        <v>2011</v>
      </c>
      <c r="E61" s="52">
        <f aca="true" t="shared" si="28" ref="E61:K64">E68+E100+E106+E112</f>
        <v>813.5999999999999</v>
      </c>
      <c r="F61" s="52">
        <f t="shared" si="28"/>
        <v>25.3</v>
      </c>
      <c r="G61" s="52">
        <f t="shared" si="28"/>
        <v>0</v>
      </c>
      <c r="H61" s="52">
        <f t="shared" si="28"/>
        <v>0.2</v>
      </c>
      <c r="I61" s="52">
        <f t="shared" si="28"/>
        <v>766.7</v>
      </c>
      <c r="J61" s="52">
        <f t="shared" si="28"/>
        <v>21.4</v>
      </c>
      <c r="K61" s="52">
        <f t="shared" si="28"/>
        <v>0</v>
      </c>
      <c r="L61" s="875"/>
      <c r="M61" s="875"/>
      <c r="N61" s="52">
        <f aca="true" t="shared" si="29" ref="N61:T64">N68+N100+N106+N112</f>
        <v>852.25</v>
      </c>
      <c r="O61" s="52">
        <f t="shared" si="29"/>
        <v>120</v>
      </c>
      <c r="P61" s="52">
        <f t="shared" si="29"/>
        <v>455</v>
      </c>
      <c r="Q61" s="52">
        <f t="shared" si="29"/>
        <v>641.093221072</v>
      </c>
      <c r="R61" s="52">
        <f t="shared" si="29"/>
        <v>410.64500000000004</v>
      </c>
      <c r="S61" s="52">
        <f t="shared" si="29"/>
        <v>195.8552547504</v>
      </c>
      <c r="T61" s="52">
        <f t="shared" si="29"/>
        <v>34.592966321599995</v>
      </c>
    </row>
    <row r="62" spans="1:20" ht="24" customHeight="1">
      <c r="A62" s="902"/>
      <c r="B62" s="895"/>
      <c r="C62" s="895"/>
      <c r="D62" s="42">
        <v>2012</v>
      </c>
      <c r="E62" s="52">
        <f t="shared" si="28"/>
        <v>906.5999999999999</v>
      </c>
      <c r="F62" s="52">
        <f t="shared" si="28"/>
        <v>25.3</v>
      </c>
      <c r="G62" s="52">
        <f t="shared" si="28"/>
        <v>0</v>
      </c>
      <c r="H62" s="52">
        <f t="shared" si="28"/>
        <v>0.2</v>
      </c>
      <c r="I62" s="52">
        <f t="shared" si="28"/>
        <v>721.1</v>
      </c>
      <c r="J62" s="52">
        <f t="shared" si="28"/>
        <v>160</v>
      </c>
      <c r="K62" s="52">
        <f t="shared" si="28"/>
        <v>0</v>
      </c>
      <c r="L62" s="875"/>
      <c r="M62" s="875"/>
      <c r="N62" s="52">
        <f t="shared" si="29"/>
        <v>852.25</v>
      </c>
      <c r="O62" s="52">
        <f t="shared" si="29"/>
        <v>240</v>
      </c>
      <c r="P62" s="52">
        <f t="shared" si="29"/>
        <v>695</v>
      </c>
      <c r="Q62" s="52">
        <f t="shared" si="29"/>
        <v>641.093221072</v>
      </c>
      <c r="R62" s="52">
        <f t="shared" si="29"/>
        <v>410.64500000000004</v>
      </c>
      <c r="S62" s="52">
        <f t="shared" si="29"/>
        <v>195.8552547504</v>
      </c>
      <c r="T62" s="52">
        <f t="shared" si="29"/>
        <v>34.592966321599995</v>
      </c>
    </row>
    <row r="63" spans="1:20" ht="30" customHeight="1">
      <c r="A63" s="902"/>
      <c r="B63" s="895"/>
      <c r="C63" s="895"/>
      <c r="D63" s="42">
        <v>2013</v>
      </c>
      <c r="E63" s="52">
        <f t="shared" si="28"/>
        <v>1893.8</v>
      </c>
      <c r="F63" s="52">
        <f t="shared" si="28"/>
        <v>462.59999999999997</v>
      </c>
      <c r="G63" s="52">
        <f t="shared" si="28"/>
        <v>549.3</v>
      </c>
      <c r="H63" s="52">
        <f t="shared" si="28"/>
        <v>0.2</v>
      </c>
      <c r="I63" s="52">
        <f t="shared" si="28"/>
        <v>731.7</v>
      </c>
      <c r="J63" s="52">
        <f t="shared" si="28"/>
        <v>150</v>
      </c>
      <c r="K63" s="52">
        <f t="shared" si="28"/>
        <v>0</v>
      </c>
      <c r="L63" s="875"/>
      <c r="M63" s="875"/>
      <c r="N63" s="52">
        <f t="shared" si="29"/>
        <v>852.25</v>
      </c>
      <c r="O63" s="52">
        <f t="shared" si="29"/>
        <v>245</v>
      </c>
      <c r="P63" s="52">
        <f t="shared" si="29"/>
        <v>940</v>
      </c>
      <c r="Q63" s="52">
        <f t="shared" si="29"/>
        <v>641.093221072</v>
      </c>
      <c r="R63" s="52">
        <f t="shared" si="29"/>
        <v>410.64500000000004</v>
      </c>
      <c r="S63" s="52">
        <f t="shared" si="29"/>
        <v>195.8552547504</v>
      </c>
      <c r="T63" s="52">
        <f t="shared" si="29"/>
        <v>34.592966321599995</v>
      </c>
    </row>
    <row r="64" spans="1:34" s="39" customFormat="1" ht="15" customHeight="1">
      <c r="A64" s="902"/>
      <c r="B64" s="895"/>
      <c r="C64" s="895"/>
      <c r="D64" s="42">
        <v>2014</v>
      </c>
      <c r="E64" s="52">
        <f t="shared" si="28"/>
        <v>2335.8</v>
      </c>
      <c r="F64" s="52">
        <f t="shared" si="28"/>
        <v>583.5999999999999</v>
      </c>
      <c r="G64" s="52">
        <f t="shared" si="28"/>
        <v>563.3</v>
      </c>
      <c r="H64" s="52">
        <f t="shared" si="28"/>
        <v>0.2</v>
      </c>
      <c r="I64" s="52">
        <f t="shared" si="28"/>
        <v>1038.7</v>
      </c>
      <c r="J64" s="52">
        <f t="shared" si="28"/>
        <v>150</v>
      </c>
      <c r="K64" s="52">
        <f t="shared" si="28"/>
        <v>0</v>
      </c>
      <c r="L64" s="875"/>
      <c r="M64" s="875"/>
      <c r="N64" s="52">
        <f t="shared" si="29"/>
        <v>851.8</v>
      </c>
      <c r="O64" s="52">
        <f t="shared" si="29"/>
        <v>283</v>
      </c>
      <c r="P64" s="52">
        <f t="shared" si="29"/>
        <v>1223</v>
      </c>
      <c r="Q64" s="52">
        <f t="shared" si="29"/>
        <v>641.4670049536</v>
      </c>
      <c r="R64" s="52">
        <f t="shared" si="29"/>
        <v>410.636</v>
      </c>
      <c r="S64" s="52">
        <f t="shared" si="29"/>
        <v>196.09890346752002</v>
      </c>
      <c r="T64" s="52">
        <f t="shared" si="29"/>
        <v>34.73210148608</v>
      </c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 s="39" customFormat="1" ht="15" customHeight="1">
      <c r="A65" s="902"/>
      <c r="B65" s="895"/>
      <c r="C65" s="895"/>
      <c r="D65" s="41" t="s">
        <v>378</v>
      </c>
      <c r="E65" s="52">
        <f aca="true" t="shared" si="30" ref="E65:K65">SUM(E60:E64)</f>
        <v>6661.2</v>
      </c>
      <c r="F65" s="52">
        <f t="shared" si="30"/>
        <v>1227.8</v>
      </c>
      <c r="G65" s="52">
        <f t="shared" si="30"/>
        <v>1126.6</v>
      </c>
      <c r="H65" s="52">
        <f t="shared" si="30"/>
        <v>1</v>
      </c>
      <c r="I65" s="52">
        <f t="shared" si="30"/>
        <v>3790.8</v>
      </c>
      <c r="J65" s="52">
        <f t="shared" si="30"/>
        <v>515</v>
      </c>
      <c r="K65" s="52">
        <f t="shared" si="30"/>
        <v>0</v>
      </c>
      <c r="L65" s="875"/>
      <c r="M65" s="875"/>
      <c r="N65" s="52">
        <f aca="true" t="shared" si="31" ref="N65:T65">SUM(N60:N64)</f>
        <v>4259</v>
      </c>
      <c r="O65" s="82">
        <f t="shared" si="31"/>
        <v>1223</v>
      </c>
      <c r="P65" s="52">
        <f t="shared" si="31"/>
        <v>3648</v>
      </c>
      <c r="Q65" s="52">
        <f t="shared" si="31"/>
        <v>3205.4798892416</v>
      </c>
      <c r="R65" s="52">
        <f t="shared" si="31"/>
        <v>2053.1800000000003</v>
      </c>
      <c r="S65" s="52">
        <f t="shared" si="31"/>
        <v>979.1959224691201</v>
      </c>
      <c r="T65" s="52">
        <f t="shared" si="31"/>
        <v>173.10396677247996</v>
      </c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 s="39" customFormat="1" ht="15" customHeight="1">
      <c r="A66" s="897">
        <f>A53+1</f>
        <v>5</v>
      </c>
      <c r="B66" s="905" t="s">
        <v>577</v>
      </c>
      <c r="C66" s="904" t="s">
        <v>446</v>
      </c>
      <c r="D66" s="74" t="s">
        <v>445</v>
      </c>
      <c r="E66" s="77" t="s">
        <v>164</v>
      </c>
      <c r="F66" s="77">
        <f aca="true" t="shared" si="32" ref="F66:K66">SUM(F67:F71)</f>
        <v>1126.6</v>
      </c>
      <c r="G66" s="77">
        <f t="shared" si="32"/>
        <v>1126.6</v>
      </c>
      <c r="H66" s="77">
        <f t="shared" si="32"/>
        <v>0</v>
      </c>
      <c r="I66" s="77">
        <f t="shared" si="32"/>
        <v>3782.3</v>
      </c>
      <c r="J66" s="77">
        <f t="shared" si="32"/>
        <v>515</v>
      </c>
      <c r="K66" s="77">
        <f t="shared" si="32"/>
        <v>0</v>
      </c>
      <c r="L66" s="903" t="s">
        <v>793</v>
      </c>
      <c r="M66" s="959" t="s">
        <v>447</v>
      </c>
      <c r="N66" s="26">
        <f>SUM(N67:N71)</f>
        <v>4250</v>
      </c>
      <c r="O66" s="29">
        <f>SUM(O67:O71)</f>
        <v>1176</v>
      </c>
      <c r="P66" s="29"/>
      <c r="Q66" s="26">
        <f aca="true" t="shared" si="33" ref="Q66:Q71">SUM(R66:T66)</f>
        <v>3200</v>
      </c>
      <c r="R66" s="26">
        <f>SUM(R67:R71)</f>
        <v>2053</v>
      </c>
      <c r="S66" s="26">
        <f>SUM(S67:S71)</f>
        <v>975</v>
      </c>
      <c r="T66" s="26">
        <f>SUM(T67:T71)</f>
        <v>172</v>
      </c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  <row r="67" spans="1:34" s="39" customFormat="1" ht="15" customHeight="1">
      <c r="A67" s="897"/>
      <c r="B67" s="905"/>
      <c r="C67" s="904"/>
      <c r="D67" s="27">
        <v>2010</v>
      </c>
      <c r="E67" s="26">
        <f>SUM(F67:K67)</f>
        <v>704.5</v>
      </c>
      <c r="F67" s="26">
        <v>126</v>
      </c>
      <c r="G67" s="26">
        <v>14</v>
      </c>
      <c r="H67" s="26"/>
      <c r="I67" s="26">
        <v>530.9</v>
      </c>
      <c r="J67" s="26">
        <v>33.6</v>
      </c>
      <c r="K67" s="53"/>
      <c r="L67" s="903"/>
      <c r="M67" s="959"/>
      <c r="N67" s="26">
        <v>850</v>
      </c>
      <c r="O67" s="29">
        <f>O74+O80+O86+O92</f>
        <v>305</v>
      </c>
      <c r="P67" s="29">
        <f>O67</f>
        <v>305</v>
      </c>
      <c r="Q67" s="26">
        <f t="shared" si="33"/>
        <v>640</v>
      </c>
      <c r="R67" s="26">
        <v>410.6</v>
      </c>
      <c r="S67" s="26">
        <v>195</v>
      </c>
      <c r="T67" s="26">
        <v>34.4</v>
      </c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</row>
    <row r="68" spans="1:34" s="39" customFormat="1" ht="15" customHeight="1">
      <c r="A68" s="897"/>
      <c r="B68" s="905"/>
      <c r="C68" s="904"/>
      <c r="D68" s="27">
        <v>2011</v>
      </c>
      <c r="E68" s="26">
        <f>SUM(F68:K68)</f>
        <v>786.4</v>
      </c>
      <c r="F68" s="26"/>
      <c r="G68" s="26"/>
      <c r="H68" s="26"/>
      <c r="I68" s="26">
        <v>765</v>
      </c>
      <c r="J68" s="26">
        <v>21.4</v>
      </c>
      <c r="K68" s="53"/>
      <c r="L68" s="903"/>
      <c r="M68" s="959"/>
      <c r="N68" s="26">
        <v>850</v>
      </c>
      <c r="O68" s="29">
        <f>O75+O81+O87+O93</f>
        <v>120</v>
      </c>
      <c r="P68" s="29">
        <f>P67+O68</f>
        <v>425</v>
      </c>
      <c r="Q68" s="26">
        <f t="shared" si="33"/>
        <v>640</v>
      </c>
      <c r="R68" s="26">
        <v>410.6</v>
      </c>
      <c r="S68" s="26">
        <v>195</v>
      </c>
      <c r="T68" s="26">
        <v>34.4</v>
      </c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</row>
    <row r="69" spans="1:34" s="39" customFormat="1" ht="15" customHeight="1">
      <c r="A69" s="897"/>
      <c r="B69" s="905"/>
      <c r="C69" s="904"/>
      <c r="D69" s="27">
        <v>2012</v>
      </c>
      <c r="E69" s="26">
        <f>SUM(F69:K69)</f>
        <v>879.4</v>
      </c>
      <c r="F69" s="26"/>
      <c r="G69" s="26"/>
      <c r="H69" s="26"/>
      <c r="I69" s="26">
        <v>719.4</v>
      </c>
      <c r="J69" s="26">
        <v>160</v>
      </c>
      <c r="K69" s="53"/>
      <c r="L69" s="903"/>
      <c r="M69" s="959"/>
      <c r="N69" s="26">
        <v>850</v>
      </c>
      <c r="O69" s="29">
        <f>O76+O82+O88+O94</f>
        <v>240</v>
      </c>
      <c r="P69" s="29">
        <f>P68+O69</f>
        <v>665</v>
      </c>
      <c r="Q69" s="26">
        <f t="shared" si="33"/>
        <v>640</v>
      </c>
      <c r="R69" s="26">
        <v>410.6</v>
      </c>
      <c r="S69" s="26">
        <v>195</v>
      </c>
      <c r="T69" s="26">
        <v>34.4</v>
      </c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</row>
    <row r="70" spans="1:20" ht="30" customHeight="1">
      <c r="A70" s="897"/>
      <c r="B70" s="905"/>
      <c r="C70" s="904"/>
      <c r="D70" s="27">
        <v>2013</v>
      </c>
      <c r="E70" s="26">
        <f>SUM(F70:K70)</f>
        <v>1866.6</v>
      </c>
      <c r="F70" s="26">
        <f>563.3-126</f>
        <v>437.29999999999995</v>
      </c>
      <c r="G70" s="26">
        <f>563.3-14</f>
        <v>549.3</v>
      </c>
      <c r="H70" s="26"/>
      <c r="I70" s="26">
        <v>730</v>
      </c>
      <c r="J70" s="26">
        <v>150</v>
      </c>
      <c r="K70" s="53"/>
      <c r="L70" s="903"/>
      <c r="M70" s="959"/>
      <c r="N70" s="26">
        <v>850</v>
      </c>
      <c r="O70" s="29">
        <v>245</v>
      </c>
      <c r="P70" s="29">
        <f>P69+O70</f>
        <v>910</v>
      </c>
      <c r="Q70" s="26">
        <f t="shared" si="33"/>
        <v>640</v>
      </c>
      <c r="R70" s="26">
        <v>410.6</v>
      </c>
      <c r="S70" s="26">
        <v>195</v>
      </c>
      <c r="T70" s="26">
        <v>34.4</v>
      </c>
    </row>
    <row r="71" spans="1:20" ht="21.75" customHeight="1">
      <c r="A71" s="897"/>
      <c r="B71" s="905"/>
      <c r="C71" s="904"/>
      <c r="D71" s="27">
        <v>2014</v>
      </c>
      <c r="E71" s="26">
        <f>SUM(F71:K71)</f>
        <v>2313.6</v>
      </c>
      <c r="F71" s="26">
        <v>563.3</v>
      </c>
      <c r="G71" s="26">
        <v>563.3</v>
      </c>
      <c r="H71" s="26"/>
      <c r="I71" s="26">
        <v>1037</v>
      </c>
      <c r="J71" s="26">
        <v>150</v>
      </c>
      <c r="K71" s="53"/>
      <c r="L71" s="903"/>
      <c r="M71" s="959"/>
      <c r="N71" s="26">
        <v>850</v>
      </c>
      <c r="O71" s="29">
        <v>266</v>
      </c>
      <c r="P71" s="29">
        <f>P70+O71</f>
        <v>1176</v>
      </c>
      <c r="Q71" s="26">
        <f t="shared" si="33"/>
        <v>640</v>
      </c>
      <c r="R71" s="26">
        <v>410.6</v>
      </c>
      <c r="S71" s="26">
        <v>195</v>
      </c>
      <c r="T71" s="26">
        <v>34.4</v>
      </c>
    </row>
    <row r="72" spans="1:20" ht="18.75" customHeight="1">
      <c r="A72" s="906" t="s">
        <v>380</v>
      </c>
      <c r="B72" s="907"/>
      <c r="C72" s="907"/>
      <c r="D72" s="907"/>
      <c r="E72" s="907"/>
      <c r="F72" s="907"/>
      <c r="G72" s="907"/>
      <c r="H72" s="907"/>
      <c r="I72" s="907"/>
      <c r="J72" s="907"/>
      <c r="K72" s="907"/>
      <c r="L72" s="907"/>
      <c r="M72" s="907"/>
      <c r="N72" s="907"/>
      <c r="O72" s="907"/>
      <c r="P72" s="907"/>
      <c r="Q72" s="907"/>
      <c r="R72" s="907"/>
      <c r="S72" s="907"/>
      <c r="T72" s="908"/>
    </row>
    <row r="73" spans="1:20" ht="17.25" customHeight="1">
      <c r="A73" s="909" t="s">
        <v>171</v>
      </c>
      <c r="B73" s="905" t="s">
        <v>636</v>
      </c>
      <c r="C73" s="893" t="s">
        <v>48</v>
      </c>
      <c r="D73" s="74" t="s">
        <v>445</v>
      </c>
      <c r="E73" s="77">
        <f aca="true" t="shared" si="34" ref="E73:K73">SUM(E74:E78)</f>
        <v>1540</v>
      </c>
      <c r="F73" s="77">
        <f t="shared" si="34"/>
        <v>126</v>
      </c>
      <c r="G73" s="77">
        <f t="shared" si="34"/>
        <v>14</v>
      </c>
      <c r="H73" s="77">
        <f t="shared" si="34"/>
        <v>0</v>
      </c>
      <c r="I73" s="77">
        <f t="shared" si="34"/>
        <v>1400</v>
      </c>
      <c r="J73" s="77">
        <f t="shared" si="34"/>
        <v>0</v>
      </c>
      <c r="K73" s="77">
        <f t="shared" si="34"/>
        <v>0</v>
      </c>
      <c r="L73" s="903" t="s">
        <v>792</v>
      </c>
      <c r="M73" s="903" t="s">
        <v>458</v>
      </c>
      <c r="N73" s="26">
        <f>SUM(N74:N78)</f>
        <v>450</v>
      </c>
      <c r="O73" s="29">
        <f>SUM(O74:O78)</f>
        <v>200</v>
      </c>
      <c r="P73" s="29"/>
      <c r="Q73" s="26">
        <f aca="true" t="shared" si="35" ref="Q73:Q85">SUM(R73:T73)</f>
        <v>1125</v>
      </c>
      <c r="R73" s="26">
        <f>SUM(R74:R78)</f>
        <v>765.0000000000001</v>
      </c>
      <c r="S73" s="26">
        <f>SUM(S74:S78)</f>
        <v>337.5</v>
      </c>
      <c r="T73" s="26">
        <f>SUM(T74:T78)</f>
        <v>22.5</v>
      </c>
    </row>
    <row r="74" spans="1:20" ht="17.25" customHeight="1">
      <c r="A74" s="909"/>
      <c r="B74" s="905"/>
      <c r="C74" s="893"/>
      <c r="D74" s="27">
        <v>2010</v>
      </c>
      <c r="E74" s="26">
        <f>SUM(F74:K74)</f>
        <v>420</v>
      </c>
      <c r="F74" s="26">
        <v>126</v>
      </c>
      <c r="G74" s="26">
        <f>126/0.9*0.1</f>
        <v>14</v>
      </c>
      <c r="H74" s="26"/>
      <c r="I74" s="26">
        <f>1400/5</f>
        <v>280</v>
      </c>
      <c r="J74" s="26"/>
      <c r="K74" s="53"/>
      <c r="L74" s="903"/>
      <c r="M74" s="903"/>
      <c r="N74" s="26">
        <v>90</v>
      </c>
      <c r="O74" s="29">
        <v>50</v>
      </c>
      <c r="P74" s="29">
        <f>O74</f>
        <v>50</v>
      </c>
      <c r="Q74" s="26">
        <f t="shared" si="35"/>
        <v>150</v>
      </c>
      <c r="R74" s="26">
        <f>300*0.68*0.5</f>
        <v>102.00000000000001</v>
      </c>
      <c r="S74" s="26">
        <f>300*0.3*0.5</f>
        <v>45</v>
      </c>
      <c r="T74" s="26">
        <f>300*0.02*0.5</f>
        <v>3</v>
      </c>
    </row>
    <row r="75" spans="1:20" ht="17.25" customHeight="1">
      <c r="A75" s="909"/>
      <c r="B75" s="905"/>
      <c r="C75" s="893"/>
      <c r="D75" s="27">
        <v>2011</v>
      </c>
      <c r="E75" s="26">
        <f>SUM(F75:K75)</f>
        <v>280</v>
      </c>
      <c r="F75" s="26">
        <v>0</v>
      </c>
      <c r="G75" s="26"/>
      <c r="H75" s="26"/>
      <c r="I75" s="26">
        <f>1400/5</f>
        <v>280</v>
      </c>
      <c r="J75" s="26"/>
      <c r="K75" s="53"/>
      <c r="L75" s="903"/>
      <c r="M75" s="903"/>
      <c r="N75" s="26">
        <v>90</v>
      </c>
      <c r="O75" s="29">
        <v>100</v>
      </c>
      <c r="P75" s="29">
        <f>P74+O75</f>
        <v>150</v>
      </c>
      <c r="Q75" s="26">
        <f t="shared" si="35"/>
        <v>150</v>
      </c>
      <c r="R75" s="26">
        <f>300*0.68*0.5</f>
        <v>102.00000000000001</v>
      </c>
      <c r="S75" s="26">
        <f>300*0.3*0.5</f>
        <v>45</v>
      </c>
      <c r="T75" s="26">
        <f>300*0.02*0.5</f>
        <v>3</v>
      </c>
    </row>
    <row r="76" spans="1:20" ht="15.75" customHeight="1">
      <c r="A76" s="909"/>
      <c r="B76" s="905"/>
      <c r="C76" s="893"/>
      <c r="D76" s="27">
        <v>2012</v>
      </c>
      <c r="E76" s="26">
        <f>SUM(F76:K76)</f>
        <v>280</v>
      </c>
      <c r="F76" s="26">
        <v>0</v>
      </c>
      <c r="G76" s="26"/>
      <c r="H76" s="26"/>
      <c r="I76" s="26">
        <f>1400/5</f>
        <v>280</v>
      </c>
      <c r="J76" s="26"/>
      <c r="K76" s="53"/>
      <c r="L76" s="903"/>
      <c r="M76" s="903"/>
      <c r="N76" s="26">
        <v>90</v>
      </c>
      <c r="O76" s="29">
        <v>50</v>
      </c>
      <c r="P76" s="29">
        <f>P75+O76</f>
        <v>200</v>
      </c>
      <c r="Q76" s="26">
        <f t="shared" si="35"/>
        <v>225.00000000000003</v>
      </c>
      <c r="R76" s="26">
        <f>300*0.68*0.75</f>
        <v>153.00000000000003</v>
      </c>
      <c r="S76" s="26">
        <f>300*0.3*0.75</f>
        <v>67.5</v>
      </c>
      <c r="T76" s="26">
        <f>300*0.02*0.75</f>
        <v>4.5</v>
      </c>
    </row>
    <row r="77" spans="1:20" ht="15" customHeight="1">
      <c r="A77" s="909"/>
      <c r="B77" s="905"/>
      <c r="C77" s="893"/>
      <c r="D77" s="27">
        <v>2013</v>
      </c>
      <c r="E77" s="26">
        <f>SUM(F77:K77)</f>
        <v>280</v>
      </c>
      <c r="F77" s="26">
        <v>0</v>
      </c>
      <c r="G77" s="26"/>
      <c r="H77" s="26"/>
      <c r="I77" s="26">
        <f>1400/5</f>
        <v>280</v>
      </c>
      <c r="J77" s="26"/>
      <c r="K77" s="53"/>
      <c r="L77" s="903"/>
      <c r="M77" s="903"/>
      <c r="N77" s="26">
        <v>90</v>
      </c>
      <c r="O77" s="29">
        <v>0</v>
      </c>
      <c r="P77" s="29">
        <f>P76+O77</f>
        <v>200</v>
      </c>
      <c r="Q77" s="26">
        <f t="shared" si="35"/>
        <v>300</v>
      </c>
      <c r="R77" s="26">
        <f>300*0.68</f>
        <v>204.00000000000003</v>
      </c>
      <c r="S77" s="26">
        <f>300*0.3</f>
        <v>90</v>
      </c>
      <c r="T77" s="26">
        <f>300*0.02</f>
        <v>6</v>
      </c>
    </row>
    <row r="78" spans="1:20" ht="15" customHeight="1">
      <c r="A78" s="909"/>
      <c r="B78" s="905"/>
      <c r="C78" s="893"/>
      <c r="D78" s="27">
        <v>2014</v>
      </c>
      <c r="E78" s="26">
        <f>SUM(F78:K78)</f>
        <v>280</v>
      </c>
      <c r="F78" s="26">
        <v>0</v>
      </c>
      <c r="G78" s="26"/>
      <c r="H78" s="26"/>
      <c r="I78" s="26">
        <f>1400/5</f>
        <v>280</v>
      </c>
      <c r="J78" s="26"/>
      <c r="K78" s="53"/>
      <c r="L78" s="903"/>
      <c r="M78" s="903"/>
      <c r="N78" s="26">
        <v>90</v>
      </c>
      <c r="O78" s="29">
        <v>0</v>
      </c>
      <c r="P78" s="29">
        <f>P77+O78</f>
        <v>200</v>
      </c>
      <c r="Q78" s="26">
        <f t="shared" si="35"/>
        <v>300</v>
      </c>
      <c r="R78" s="26">
        <f>300*0.68</f>
        <v>204.00000000000003</v>
      </c>
      <c r="S78" s="26">
        <f>300*0.3</f>
        <v>90</v>
      </c>
      <c r="T78" s="26">
        <f>300*0.02</f>
        <v>6</v>
      </c>
    </row>
    <row r="79" spans="1:20" ht="15" customHeight="1">
      <c r="A79" s="909" t="s">
        <v>172</v>
      </c>
      <c r="B79" s="905" t="s">
        <v>481</v>
      </c>
      <c r="C79" s="893" t="s">
        <v>482</v>
      </c>
      <c r="D79" s="74" t="s">
        <v>445</v>
      </c>
      <c r="E79" s="77">
        <f aca="true" t="shared" si="36" ref="E79:K79">SUM(E80:E84)</f>
        <v>960</v>
      </c>
      <c r="F79" s="77">
        <f t="shared" si="36"/>
        <v>0</v>
      </c>
      <c r="G79" s="77">
        <f t="shared" si="36"/>
        <v>0</v>
      </c>
      <c r="H79" s="77">
        <f t="shared" si="36"/>
        <v>0</v>
      </c>
      <c r="I79" s="77">
        <f t="shared" si="36"/>
        <v>500</v>
      </c>
      <c r="J79" s="77">
        <f t="shared" si="36"/>
        <v>460</v>
      </c>
      <c r="K79" s="77">
        <f t="shared" si="36"/>
        <v>0</v>
      </c>
      <c r="L79" s="903" t="s">
        <v>792</v>
      </c>
      <c r="M79" s="903" t="s">
        <v>483</v>
      </c>
      <c r="N79" s="29">
        <f>SUM(N80:N84)</f>
        <v>180</v>
      </c>
      <c r="O79" s="29">
        <f>SUM(O80:O84)</f>
        <v>210</v>
      </c>
      <c r="P79" s="29"/>
      <c r="Q79" s="26">
        <f t="shared" si="35"/>
        <v>106.69999999999999</v>
      </c>
      <c r="R79" s="26">
        <f>SUM(R80:R84)</f>
        <v>52.199999999999996</v>
      </c>
      <c r="S79" s="26">
        <f>SUM(S80:S84)</f>
        <v>52.5</v>
      </c>
      <c r="T79" s="26">
        <f>SUM(T80:T84)</f>
        <v>2</v>
      </c>
    </row>
    <row r="80" spans="1:20" ht="15">
      <c r="A80" s="909"/>
      <c r="B80" s="905"/>
      <c r="C80" s="883"/>
      <c r="D80" s="27">
        <v>2010</v>
      </c>
      <c r="E80" s="26">
        <f>SUM(F80:K80)</f>
        <v>150</v>
      </c>
      <c r="F80" s="26"/>
      <c r="G80" s="26"/>
      <c r="H80" s="26"/>
      <c r="I80" s="26">
        <v>150</v>
      </c>
      <c r="J80" s="26"/>
      <c r="K80" s="53"/>
      <c r="L80" s="903"/>
      <c r="M80" s="903"/>
      <c r="N80" s="29">
        <v>0</v>
      </c>
      <c r="O80" s="29">
        <v>30</v>
      </c>
      <c r="P80" s="29">
        <f>O80</f>
        <v>30</v>
      </c>
      <c r="Q80" s="26">
        <f t="shared" si="35"/>
        <v>10.9</v>
      </c>
      <c r="R80" s="26">
        <v>0</v>
      </c>
      <c r="S80" s="26">
        <v>10.5</v>
      </c>
      <c r="T80" s="26">
        <v>0.4</v>
      </c>
    </row>
    <row r="81" spans="1:20" ht="15">
      <c r="A81" s="909"/>
      <c r="B81" s="905"/>
      <c r="C81" s="883"/>
      <c r="D81" s="27">
        <v>2011</v>
      </c>
      <c r="E81" s="26">
        <f>SUM(F81:K81)</f>
        <v>200</v>
      </c>
      <c r="F81" s="26"/>
      <c r="G81" s="26"/>
      <c r="H81" s="26"/>
      <c r="I81" s="26">
        <v>200</v>
      </c>
      <c r="J81" s="26"/>
      <c r="K81" s="53"/>
      <c r="L81" s="903"/>
      <c r="M81" s="903"/>
      <c r="N81" s="29">
        <v>0</v>
      </c>
      <c r="O81" s="29">
        <v>20</v>
      </c>
      <c r="P81" s="29">
        <f>P80+O81</f>
        <v>50</v>
      </c>
      <c r="Q81" s="26">
        <f t="shared" si="35"/>
        <v>10.9</v>
      </c>
      <c r="R81" s="26">
        <v>0</v>
      </c>
      <c r="S81" s="26">
        <v>10.5</v>
      </c>
      <c r="T81" s="26">
        <v>0.4</v>
      </c>
    </row>
    <row r="82" spans="1:20" ht="15">
      <c r="A82" s="909"/>
      <c r="B82" s="905"/>
      <c r="C82" s="883"/>
      <c r="D82" s="27">
        <v>2012</v>
      </c>
      <c r="E82" s="26">
        <f>SUM(F82:K82)</f>
        <v>310</v>
      </c>
      <c r="F82" s="26"/>
      <c r="G82" s="26"/>
      <c r="H82" s="26"/>
      <c r="I82" s="26">
        <v>150</v>
      </c>
      <c r="J82" s="26">
        <v>160</v>
      </c>
      <c r="K82" s="53"/>
      <c r="L82" s="903"/>
      <c r="M82" s="903"/>
      <c r="N82" s="29">
        <v>50</v>
      </c>
      <c r="O82" s="29">
        <v>40</v>
      </c>
      <c r="P82" s="29">
        <f>P81+O82</f>
        <v>90</v>
      </c>
      <c r="Q82" s="26">
        <f t="shared" si="35"/>
        <v>28.299999999999997</v>
      </c>
      <c r="R82" s="26">
        <v>17.4</v>
      </c>
      <c r="S82" s="26">
        <v>10.5</v>
      </c>
      <c r="T82" s="26">
        <v>0.4</v>
      </c>
    </row>
    <row r="83" spans="1:20" ht="15">
      <c r="A83" s="909"/>
      <c r="B83" s="905"/>
      <c r="C83" s="883"/>
      <c r="D83" s="27">
        <v>2013</v>
      </c>
      <c r="E83" s="26">
        <f>SUM(F83:K83)</f>
        <v>150</v>
      </c>
      <c r="F83" s="26"/>
      <c r="G83" s="26"/>
      <c r="H83" s="26"/>
      <c r="I83" s="26"/>
      <c r="J83" s="26">
        <v>150</v>
      </c>
      <c r="K83" s="53"/>
      <c r="L83" s="903"/>
      <c r="M83" s="903"/>
      <c r="N83" s="29">
        <v>50</v>
      </c>
      <c r="O83" s="29">
        <v>80</v>
      </c>
      <c r="P83" s="29">
        <f>P82+O83</f>
        <v>170</v>
      </c>
      <c r="Q83" s="26">
        <f t="shared" si="35"/>
        <v>28.299999999999997</v>
      </c>
      <c r="R83" s="26">
        <v>17.4</v>
      </c>
      <c r="S83" s="26">
        <v>10.5</v>
      </c>
      <c r="T83" s="26">
        <v>0.4</v>
      </c>
    </row>
    <row r="84" spans="1:20" ht="30" customHeight="1">
      <c r="A84" s="909"/>
      <c r="B84" s="905"/>
      <c r="C84" s="883"/>
      <c r="D84" s="27">
        <v>2014</v>
      </c>
      <c r="E84" s="26">
        <f>SUM(F84:K84)</f>
        <v>150</v>
      </c>
      <c r="F84" s="26"/>
      <c r="G84" s="26"/>
      <c r="H84" s="26"/>
      <c r="I84" s="26"/>
      <c r="J84" s="26">
        <v>150</v>
      </c>
      <c r="K84" s="53"/>
      <c r="L84" s="903"/>
      <c r="M84" s="903"/>
      <c r="N84" s="29">
        <v>80</v>
      </c>
      <c r="O84" s="29">
        <v>40</v>
      </c>
      <c r="P84" s="29">
        <f>P83+O84</f>
        <v>210</v>
      </c>
      <c r="Q84" s="26">
        <f t="shared" si="35"/>
        <v>28.299999999999997</v>
      </c>
      <c r="R84" s="26">
        <v>17.4</v>
      </c>
      <c r="S84" s="26">
        <v>10.5</v>
      </c>
      <c r="T84" s="26">
        <v>0.4</v>
      </c>
    </row>
    <row r="85" spans="1:20" ht="15" customHeight="1">
      <c r="A85" s="909" t="s">
        <v>173</v>
      </c>
      <c r="B85" s="900" t="s">
        <v>574</v>
      </c>
      <c r="C85" s="904" t="s">
        <v>450</v>
      </c>
      <c r="D85" s="74" t="s">
        <v>445</v>
      </c>
      <c r="E85" s="77">
        <f aca="true" t="shared" si="37" ref="E85:K85">SUM(E86:E90)</f>
        <v>400</v>
      </c>
      <c r="F85" s="77">
        <f t="shared" si="37"/>
        <v>0</v>
      </c>
      <c r="G85" s="77">
        <f t="shared" si="37"/>
        <v>0</v>
      </c>
      <c r="H85" s="77">
        <f t="shared" si="37"/>
        <v>0</v>
      </c>
      <c r="I85" s="77">
        <f t="shared" si="37"/>
        <v>400</v>
      </c>
      <c r="J85" s="77">
        <f t="shared" si="37"/>
        <v>0</v>
      </c>
      <c r="K85" s="77">
        <f t="shared" si="37"/>
        <v>0</v>
      </c>
      <c r="L85" s="903" t="s">
        <v>794</v>
      </c>
      <c r="M85" s="903" t="s">
        <v>458</v>
      </c>
      <c r="N85" s="26">
        <f>SUM(N86:N90)</f>
        <v>75</v>
      </c>
      <c r="O85" s="29">
        <f>SUM(O86:O90)</f>
        <v>150</v>
      </c>
      <c r="P85" s="29"/>
      <c r="Q85" s="26">
        <f t="shared" si="35"/>
        <v>64.2</v>
      </c>
      <c r="R85" s="26">
        <f>SUM(R86:R90)</f>
        <v>44.099999999999994</v>
      </c>
      <c r="S85" s="26">
        <f>SUM(S86:S90)</f>
        <v>14.700000000000001</v>
      </c>
      <c r="T85" s="26">
        <f>SUM(T86:T90)</f>
        <v>5.4</v>
      </c>
    </row>
    <row r="86" spans="1:20" ht="15">
      <c r="A86" s="909"/>
      <c r="B86" s="900"/>
      <c r="C86" s="904"/>
      <c r="D86" s="27">
        <v>2010</v>
      </c>
      <c r="E86" s="26">
        <f>SUM(F86:K86)</f>
        <v>0</v>
      </c>
      <c r="F86" s="30"/>
      <c r="G86" s="30"/>
      <c r="H86" s="30"/>
      <c r="I86" s="30"/>
      <c r="J86" s="30"/>
      <c r="K86" s="53"/>
      <c r="L86" s="903"/>
      <c r="M86" s="903"/>
      <c r="N86" s="30">
        <v>15</v>
      </c>
      <c r="O86" s="84">
        <v>0</v>
      </c>
      <c r="P86" s="29">
        <f>O86</f>
        <v>0</v>
      </c>
      <c r="Q86" s="26">
        <v>0</v>
      </c>
      <c r="R86" s="26">
        <v>0</v>
      </c>
      <c r="S86" s="26">
        <v>0</v>
      </c>
      <c r="T86" s="26">
        <v>0</v>
      </c>
    </row>
    <row r="87" spans="1:20" ht="15">
      <c r="A87" s="909"/>
      <c r="B87" s="900"/>
      <c r="C87" s="904"/>
      <c r="D87" s="27">
        <v>2011</v>
      </c>
      <c r="E87" s="26">
        <f>SUM(F87:K87)</f>
        <v>0</v>
      </c>
      <c r="F87" s="30"/>
      <c r="G87" s="30"/>
      <c r="H87" s="30"/>
      <c r="I87" s="30"/>
      <c r="J87" s="30"/>
      <c r="K87" s="53"/>
      <c r="L87" s="903"/>
      <c r="M87" s="903"/>
      <c r="N87" s="30">
        <v>15</v>
      </c>
      <c r="O87" s="29">
        <v>0</v>
      </c>
      <c r="P87" s="29">
        <f>P86+O87</f>
        <v>0</v>
      </c>
      <c r="Q87" s="26">
        <v>0</v>
      </c>
      <c r="R87" s="26">
        <v>0</v>
      </c>
      <c r="S87" s="26">
        <v>0</v>
      </c>
      <c r="T87" s="26">
        <v>0</v>
      </c>
    </row>
    <row r="88" spans="1:20" ht="15">
      <c r="A88" s="909"/>
      <c r="B88" s="900"/>
      <c r="C88" s="904"/>
      <c r="D88" s="27">
        <v>2012</v>
      </c>
      <c r="E88" s="26">
        <f>SUM(F88:K88)</f>
        <v>100</v>
      </c>
      <c r="F88" s="30"/>
      <c r="G88" s="30"/>
      <c r="H88" s="30"/>
      <c r="I88" s="30">
        <v>100</v>
      </c>
      <c r="J88" s="30"/>
      <c r="K88" s="53"/>
      <c r="L88" s="903"/>
      <c r="M88" s="903"/>
      <c r="N88" s="30">
        <v>15</v>
      </c>
      <c r="O88" s="29">
        <v>150</v>
      </c>
      <c r="P88" s="29">
        <f>P87+O88</f>
        <v>150</v>
      </c>
      <c r="Q88" s="26">
        <f aca="true" t="shared" si="38" ref="Q88:Q96">SUM(R88:T88)</f>
        <v>21.400000000000002</v>
      </c>
      <c r="R88" s="30">
        <v>14.7</v>
      </c>
      <c r="S88" s="30">
        <v>4.9</v>
      </c>
      <c r="T88" s="30">
        <v>1.8</v>
      </c>
    </row>
    <row r="89" spans="1:20" ht="97.5" customHeight="1">
      <c r="A89" s="909"/>
      <c r="B89" s="900"/>
      <c r="C89" s="904"/>
      <c r="D89" s="27">
        <v>2013</v>
      </c>
      <c r="E89" s="26">
        <f>SUM(F89:K89)</f>
        <v>150</v>
      </c>
      <c r="F89" s="30"/>
      <c r="G89" s="30"/>
      <c r="H89" s="30"/>
      <c r="I89" s="30">
        <v>150</v>
      </c>
      <c r="J89" s="30"/>
      <c r="K89" s="53"/>
      <c r="L89" s="903"/>
      <c r="M89" s="903"/>
      <c r="N89" s="30">
        <v>15</v>
      </c>
      <c r="O89" s="29">
        <v>0</v>
      </c>
      <c r="P89" s="29">
        <f>P88+O89</f>
        <v>150</v>
      </c>
      <c r="Q89" s="26">
        <f t="shared" si="38"/>
        <v>21.400000000000002</v>
      </c>
      <c r="R89" s="30">
        <v>14.7</v>
      </c>
      <c r="S89" s="30">
        <v>4.9</v>
      </c>
      <c r="T89" s="30">
        <v>1.8</v>
      </c>
    </row>
    <row r="90" spans="1:20" ht="21" customHeight="1">
      <c r="A90" s="909"/>
      <c r="B90" s="900"/>
      <c r="C90" s="904"/>
      <c r="D90" s="27">
        <v>2014</v>
      </c>
      <c r="E90" s="26">
        <f>SUM(F90:K90)</f>
        <v>150</v>
      </c>
      <c r="F90" s="30"/>
      <c r="G90" s="30"/>
      <c r="H90" s="30"/>
      <c r="I90" s="30">
        <v>150</v>
      </c>
      <c r="J90" s="30"/>
      <c r="K90" s="53"/>
      <c r="L90" s="903"/>
      <c r="M90" s="903"/>
      <c r="N90" s="30">
        <v>15</v>
      </c>
      <c r="O90" s="29">
        <v>0</v>
      </c>
      <c r="P90" s="29">
        <f>P89+O90</f>
        <v>150</v>
      </c>
      <c r="Q90" s="26">
        <f t="shared" si="38"/>
        <v>21.400000000000002</v>
      </c>
      <c r="R90" s="30">
        <v>14.7</v>
      </c>
      <c r="S90" s="30">
        <v>4.9</v>
      </c>
      <c r="T90" s="30">
        <v>1.8</v>
      </c>
    </row>
    <row r="91" spans="1:20" ht="15" customHeight="1">
      <c r="A91" s="909" t="s">
        <v>174</v>
      </c>
      <c r="B91" s="905" t="s">
        <v>635</v>
      </c>
      <c r="C91" s="893" t="s">
        <v>454</v>
      </c>
      <c r="D91" s="74" t="s">
        <v>445</v>
      </c>
      <c r="E91" s="77">
        <f aca="true" t="shared" si="39" ref="E91:K91">SUM(E92:E96)</f>
        <v>462</v>
      </c>
      <c r="F91" s="77">
        <f t="shared" si="39"/>
        <v>0</v>
      </c>
      <c r="G91" s="77">
        <f t="shared" si="39"/>
        <v>0</v>
      </c>
      <c r="H91" s="77">
        <f t="shared" si="39"/>
        <v>0</v>
      </c>
      <c r="I91" s="77">
        <f t="shared" si="39"/>
        <v>462</v>
      </c>
      <c r="J91" s="77">
        <f t="shared" si="39"/>
        <v>0</v>
      </c>
      <c r="K91" s="77">
        <f t="shared" si="39"/>
        <v>0</v>
      </c>
      <c r="L91" s="903" t="s">
        <v>794</v>
      </c>
      <c r="M91" s="903" t="s">
        <v>462</v>
      </c>
      <c r="N91" s="26">
        <f>SUM(N92:N96)</f>
        <v>200</v>
      </c>
      <c r="O91" s="29">
        <f>SUM(O92:O96)</f>
        <v>225</v>
      </c>
      <c r="P91" s="29"/>
      <c r="Q91" s="26">
        <f t="shared" si="38"/>
        <v>153</v>
      </c>
      <c r="R91" s="26">
        <f>SUM(R92:R96)</f>
        <v>87</v>
      </c>
      <c r="S91" s="26">
        <f>SUM(S92:S96)</f>
        <v>52.5</v>
      </c>
      <c r="T91" s="26">
        <f>SUM(T92:T96)</f>
        <v>13.5</v>
      </c>
    </row>
    <row r="92" spans="1:20" ht="15" customHeight="1">
      <c r="A92" s="909"/>
      <c r="B92" s="905"/>
      <c r="C92" s="893"/>
      <c r="D92" s="27">
        <v>2010</v>
      </c>
      <c r="E92" s="26">
        <f>SUM(F92:K92)</f>
        <v>92.4</v>
      </c>
      <c r="F92" s="26"/>
      <c r="G92" s="26"/>
      <c r="H92" s="26"/>
      <c r="I92" s="26">
        <v>92.4</v>
      </c>
      <c r="J92" s="26"/>
      <c r="K92" s="53"/>
      <c r="L92" s="903"/>
      <c r="M92" s="903"/>
      <c r="N92" s="26">
        <v>40</v>
      </c>
      <c r="O92" s="29">
        <v>225</v>
      </c>
      <c r="P92" s="29">
        <f>O92</f>
        <v>225</v>
      </c>
      <c r="Q92" s="26">
        <f t="shared" si="38"/>
        <v>30.599999999999998</v>
      </c>
      <c r="R92" s="26">
        <v>17.4</v>
      </c>
      <c r="S92" s="26">
        <v>10.5</v>
      </c>
      <c r="T92" s="26">
        <v>2.7</v>
      </c>
    </row>
    <row r="93" spans="1:20" ht="15">
      <c r="A93" s="909"/>
      <c r="B93" s="905"/>
      <c r="C93" s="893"/>
      <c r="D93" s="27">
        <v>2011</v>
      </c>
      <c r="E93" s="26">
        <f>SUM(F93:K93)</f>
        <v>92.4</v>
      </c>
      <c r="F93" s="26"/>
      <c r="G93" s="26"/>
      <c r="H93" s="26"/>
      <c r="I93" s="26">
        <v>92.4</v>
      </c>
      <c r="J93" s="26"/>
      <c r="K93" s="53"/>
      <c r="L93" s="903"/>
      <c r="M93" s="903"/>
      <c r="N93" s="26">
        <v>40</v>
      </c>
      <c r="O93" s="29">
        <v>0</v>
      </c>
      <c r="P93" s="29">
        <f>P92+O93</f>
        <v>225</v>
      </c>
      <c r="Q93" s="26">
        <f t="shared" si="38"/>
        <v>30.599999999999998</v>
      </c>
      <c r="R93" s="26">
        <v>17.4</v>
      </c>
      <c r="S93" s="26">
        <v>10.5</v>
      </c>
      <c r="T93" s="26">
        <v>2.7</v>
      </c>
    </row>
    <row r="94" spans="1:20" ht="15">
      <c r="A94" s="909"/>
      <c r="B94" s="905"/>
      <c r="C94" s="893"/>
      <c r="D94" s="27">
        <v>2012</v>
      </c>
      <c r="E94" s="26">
        <f>SUM(F94:K94)</f>
        <v>92.4</v>
      </c>
      <c r="F94" s="26"/>
      <c r="G94" s="26"/>
      <c r="H94" s="26"/>
      <c r="I94" s="26">
        <v>92.4</v>
      </c>
      <c r="J94" s="26"/>
      <c r="K94" s="53"/>
      <c r="L94" s="903"/>
      <c r="M94" s="903"/>
      <c r="N94" s="26">
        <v>40</v>
      </c>
      <c r="O94" s="29">
        <v>0</v>
      </c>
      <c r="P94" s="29">
        <f>P93+O94</f>
        <v>225</v>
      </c>
      <c r="Q94" s="26">
        <f t="shared" si="38"/>
        <v>30.599999999999998</v>
      </c>
      <c r="R94" s="26">
        <v>17.4</v>
      </c>
      <c r="S94" s="26">
        <v>10.5</v>
      </c>
      <c r="T94" s="26">
        <v>2.7</v>
      </c>
    </row>
    <row r="95" spans="1:20" ht="15">
      <c r="A95" s="909"/>
      <c r="B95" s="905"/>
      <c r="C95" s="893"/>
      <c r="D95" s="27">
        <v>2013</v>
      </c>
      <c r="E95" s="26">
        <f>SUM(F95:K95)</f>
        <v>92.4</v>
      </c>
      <c r="F95" s="26"/>
      <c r="G95" s="26"/>
      <c r="H95" s="26"/>
      <c r="I95" s="26">
        <v>92.4</v>
      </c>
      <c r="J95" s="26"/>
      <c r="K95" s="53"/>
      <c r="L95" s="903"/>
      <c r="M95" s="903"/>
      <c r="N95" s="26">
        <v>40</v>
      </c>
      <c r="O95" s="29">
        <v>0</v>
      </c>
      <c r="P95" s="29">
        <f>P94+O95</f>
        <v>225</v>
      </c>
      <c r="Q95" s="26">
        <f t="shared" si="38"/>
        <v>30.599999999999998</v>
      </c>
      <c r="R95" s="26">
        <v>17.4</v>
      </c>
      <c r="S95" s="26">
        <v>10.5</v>
      </c>
      <c r="T95" s="26">
        <v>2.7</v>
      </c>
    </row>
    <row r="96" spans="1:20" ht="15">
      <c r="A96" s="909"/>
      <c r="B96" s="905"/>
      <c r="C96" s="893"/>
      <c r="D96" s="27">
        <v>2014</v>
      </c>
      <c r="E96" s="26">
        <f>SUM(F96:K96)</f>
        <v>92.4</v>
      </c>
      <c r="F96" s="26"/>
      <c r="G96" s="26"/>
      <c r="H96" s="26"/>
      <c r="I96" s="26">
        <v>92.4</v>
      </c>
      <c r="J96" s="26"/>
      <c r="K96" s="53"/>
      <c r="L96" s="903"/>
      <c r="M96" s="903"/>
      <c r="N96" s="26">
        <v>40</v>
      </c>
      <c r="O96" s="29">
        <v>0</v>
      </c>
      <c r="P96" s="29">
        <f>P95+O96</f>
        <v>225</v>
      </c>
      <c r="Q96" s="26">
        <f t="shared" si="38"/>
        <v>30.599999999999998</v>
      </c>
      <c r="R96" s="26">
        <v>17.4</v>
      </c>
      <c r="S96" s="26">
        <v>10.5</v>
      </c>
      <c r="T96" s="26">
        <v>2.7</v>
      </c>
    </row>
    <row r="97" spans="1:20" ht="18" customHeight="1">
      <c r="A97" s="906" t="s">
        <v>161</v>
      </c>
      <c r="B97" s="907"/>
      <c r="C97" s="907"/>
      <c r="D97" s="907"/>
      <c r="E97" s="907"/>
      <c r="F97" s="907"/>
      <c r="G97" s="907"/>
      <c r="H97" s="907"/>
      <c r="I97" s="907"/>
      <c r="J97" s="907"/>
      <c r="K97" s="907"/>
      <c r="L97" s="907"/>
      <c r="M97" s="907"/>
      <c r="N97" s="907"/>
      <c r="O97" s="907"/>
      <c r="P97" s="907"/>
      <c r="Q97" s="907"/>
      <c r="R97" s="907"/>
      <c r="S97" s="907"/>
      <c r="T97" s="908"/>
    </row>
    <row r="98" spans="1:20" ht="15" customHeight="1">
      <c r="A98" s="897">
        <v>6</v>
      </c>
      <c r="B98" s="905" t="s">
        <v>661</v>
      </c>
      <c r="C98" s="904" t="s">
        <v>677</v>
      </c>
      <c r="D98" s="74" t="s">
        <v>445</v>
      </c>
      <c r="E98" s="77">
        <f aca="true" t="shared" si="40" ref="E98:K98">SUM(E99:E103)</f>
        <v>100</v>
      </c>
      <c r="F98" s="77">
        <f t="shared" si="40"/>
        <v>100</v>
      </c>
      <c r="G98" s="77">
        <f t="shared" si="40"/>
        <v>0</v>
      </c>
      <c r="H98" s="77">
        <f t="shared" si="40"/>
        <v>0</v>
      </c>
      <c r="I98" s="77">
        <f t="shared" si="40"/>
        <v>0</v>
      </c>
      <c r="J98" s="77">
        <f t="shared" si="40"/>
        <v>0</v>
      </c>
      <c r="K98" s="77">
        <f t="shared" si="40"/>
        <v>0</v>
      </c>
      <c r="L98" s="903" t="s">
        <v>29</v>
      </c>
      <c r="M98" s="903" t="s">
        <v>780</v>
      </c>
      <c r="N98" s="26">
        <f>SUM(N99:N103)</f>
        <v>9</v>
      </c>
      <c r="O98" s="29">
        <f>SUM(O99:O103)</f>
        <v>32</v>
      </c>
      <c r="P98" s="29"/>
      <c r="Q98" s="26">
        <f aca="true" t="shared" si="41" ref="Q98:Q103">SUM(R98:T98)</f>
        <v>4.3098892416000005</v>
      </c>
      <c r="R98" s="26">
        <f>SUM(R99:R103)</f>
        <v>0.18000000000000002</v>
      </c>
      <c r="S98" s="26">
        <f>SUM(S99:S103)</f>
        <v>3.37692246912</v>
      </c>
      <c r="T98" s="26">
        <f>SUM(T99:T103)</f>
        <v>0.7529667724800001</v>
      </c>
    </row>
    <row r="99" spans="1:20" ht="23.25" customHeight="1">
      <c r="A99" s="897"/>
      <c r="B99" s="905"/>
      <c r="C99" s="904"/>
      <c r="D99" s="27">
        <v>2010</v>
      </c>
      <c r="E99" s="26">
        <f>SUM(F99:K99)</f>
        <v>5</v>
      </c>
      <c r="F99" s="26">
        <v>5</v>
      </c>
      <c r="G99" s="26"/>
      <c r="H99" s="26"/>
      <c r="I99" s="26"/>
      <c r="J99" s="26"/>
      <c r="K99" s="46"/>
      <c r="L99" s="903"/>
      <c r="M99" s="903"/>
      <c r="N99" s="26">
        <f>E99*0.6*0.15</f>
        <v>0.44999999999999996</v>
      </c>
      <c r="O99" s="29">
        <v>15</v>
      </c>
      <c r="P99" s="29">
        <f>O99</f>
        <v>15</v>
      </c>
      <c r="Q99" s="26">
        <f t="shared" si="41"/>
        <v>0.499221072</v>
      </c>
      <c r="R99" s="34">
        <f>U99*0.18+N99*0.02</f>
        <v>0.009</v>
      </c>
      <c r="S99" s="101">
        <f>P99*16.344*1.07*12/1000*0.13*0.7+N99*0.18</f>
        <v>0.3674547504</v>
      </c>
      <c r="T99" s="101">
        <f>P99*16.344*1.07*12/1000*0.13*0.3</f>
        <v>0.12276632160000002</v>
      </c>
    </row>
    <row r="100" spans="1:20" ht="23.25" customHeight="1">
      <c r="A100" s="897"/>
      <c r="B100" s="905"/>
      <c r="C100" s="904"/>
      <c r="D100" s="27">
        <v>2011</v>
      </c>
      <c r="E100" s="26">
        <f>SUM(F100:K100)</f>
        <v>25</v>
      </c>
      <c r="F100" s="26">
        <v>25</v>
      </c>
      <c r="G100" s="26"/>
      <c r="H100" s="26"/>
      <c r="I100" s="26"/>
      <c r="J100" s="26"/>
      <c r="K100" s="46"/>
      <c r="L100" s="903"/>
      <c r="M100" s="903"/>
      <c r="N100" s="26">
        <f>E100*0.6*0.15</f>
        <v>2.25</v>
      </c>
      <c r="O100" s="29">
        <v>0</v>
      </c>
      <c r="P100" s="29">
        <f>P99+O100</f>
        <v>15</v>
      </c>
      <c r="Q100" s="26">
        <f t="shared" si="41"/>
        <v>0.859221072</v>
      </c>
      <c r="R100" s="34">
        <f>U100*0.18+N100*0.02</f>
        <v>0.045</v>
      </c>
      <c r="S100" s="101">
        <f>P100*16.344*1.07*12/1000*0.13*0.7+N100*0.18</f>
        <v>0.6914547503999999</v>
      </c>
      <c r="T100" s="101">
        <f>P100*16.344*1.07*12/1000*0.13*0.3</f>
        <v>0.12276632160000002</v>
      </c>
    </row>
    <row r="101" spans="1:20" ht="21.75" customHeight="1">
      <c r="A101" s="897"/>
      <c r="B101" s="905"/>
      <c r="C101" s="904"/>
      <c r="D101" s="27">
        <v>2012</v>
      </c>
      <c r="E101" s="26">
        <f>SUM(F101:K101)</f>
        <v>25</v>
      </c>
      <c r="F101" s="26">
        <v>25</v>
      </c>
      <c r="G101" s="26"/>
      <c r="H101" s="26"/>
      <c r="I101" s="26"/>
      <c r="J101" s="26"/>
      <c r="K101" s="46"/>
      <c r="L101" s="903"/>
      <c r="M101" s="903"/>
      <c r="N101" s="26">
        <f>E101*0.6*0.15</f>
        <v>2.25</v>
      </c>
      <c r="O101" s="29">
        <v>0</v>
      </c>
      <c r="P101" s="29">
        <f>P100+O101</f>
        <v>15</v>
      </c>
      <c r="Q101" s="26">
        <f t="shared" si="41"/>
        <v>0.859221072</v>
      </c>
      <c r="R101" s="34">
        <f>U101*0.18+N101*0.02</f>
        <v>0.045</v>
      </c>
      <c r="S101" s="101">
        <f>P101*16.344*1.07*12/1000*0.13*0.7+N101*0.18</f>
        <v>0.6914547503999999</v>
      </c>
      <c r="T101" s="101">
        <f>P101*16.344*1.07*12/1000*0.13*0.3</f>
        <v>0.12276632160000002</v>
      </c>
    </row>
    <row r="102" spans="1:20" ht="22.5" customHeight="1">
      <c r="A102" s="897"/>
      <c r="B102" s="905"/>
      <c r="C102" s="904"/>
      <c r="D102" s="27">
        <v>2013</v>
      </c>
      <c r="E102" s="26">
        <f>SUM(F102:K102)</f>
        <v>25</v>
      </c>
      <c r="F102" s="26">
        <v>25</v>
      </c>
      <c r="G102" s="26"/>
      <c r="H102" s="26"/>
      <c r="I102" s="26"/>
      <c r="J102" s="26"/>
      <c r="K102" s="46"/>
      <c r="L102" s="903"/>
      <c r="M102" s="903"/>
      <c r="N102" s="26">
        <f>E102*0.6*0.15</f>
        <v>2.25</v>
      </c>
      <c r="O102" s="29">
        <v>0</v>
      </c>
      <c r="P102" s="29">
        <f>P101+O102</f>
        <v>15</v>
      </c>
      <c r="Q102" s="26">
        <f t="shared" si="41"/>
        <v>0.859221072</v>
      </c>
      <c r="R102" s="34">
        <f>U102*0.18+N102*0.02</f>
        <v>0.045</v>
      </c>
      <c r="S102" s="101">
        <f>P102*16.344*1.07*12/1000*0.13*0.7+N102*0.18</f>
        <v>0.6914547503999999</v>
      </c>
      <c r="T102" s="101">
        <f>P102*16.344*1.07*12/1000*0.13*0.3</f>
        <v>0.12276632160000002</v>
      </c>
    </row>
    <row r="103" spans="1:20" ht="22.5" customHeight="1">
      <c r="A103" s="897"/>
      <c r="B103" s="905"/>
      <c r="C103" s="904"/>
      <c r="D103" s="27">
        <v>2014</v>
      </c>
      <c r="E103" s="26">
        <f>SUM(F103:K103)</f>
        <v>20</v>
      </c>
      <c r="F103" s="26">
        <v>20</v>
      </c>
      <c r="G103" s="26"/>
      <c r="H103" s="26"/>
      <c r="I103" s="26"/>
      <c r="J103" s="26"/>
      <c r="K103" s="46"/>
      <c r="L103" s="903"/>
      <c r="M103" s="903"/>
      <c r="N103" s="26">
        <f>E103*0.6*0.15</f>
        <v>1.7999999999999998</v>
      </c>
      <c r="O103" s="29">
        <v>17</v>
      </c>
      <c r="P103" s="29">
        <f>P102+O103</f>
        <v>32</v>
      </c>
      <c r="Q103" s="26">
        <f t="shared" si="41"/>
        <v>1.2330049536</v>
      </c>
      <c r="R103" s="34">
        <f>U103*0.18+N103*0.02</f>
        <v>0.036</v>
      </c>
      <c r="S103" s="101">
        <f>P103*16.344*1.07*12/1000*0.13*0.7+N103*0.18</f>
        <v>0.9351034675200001</v>
      </c>
      <c r="T103" s="101">
        <f>P103*16.344*1.07*12/1000*0.13*0.3</f>
        <v>0.26190148608</v>
      </c>
    </row>
    <row r="104" spans="1:20" ht="23.25" customHeight="1">
      <c r="A104" s="897">
        <f>A98+1</f>
        <v>7</v>
      </c>
      <c r="B104" s="867" t="s">
        <v>644</v>
      </c>
      <c r="C104" s="868" t="s">
        <v>381</v>
      </c>
      <c r="D104" s="129" t="s">
        <v>570</v>
      </c>
      <c r="E104" s="77">
        <f aca="true" t="shared" si="42" ref="E104:K104">SUM(E105:E109)</f>
        <v>6.5</v>
      </c>
      <c r="F104" s="77">
        <f t="shared" si="42"/>
        <v>0</v>
      </c>
      <c r="G104" s="77">
        <f t="shared" si="42"/>
        <v>0</v>
      </c>
      <c r="H104" s="77">
        <f t="shared" si="42"/>
        <v>0.5</v>
      </c>
      <c r="I104" s="77">
        <f t="shared" si="42"/>
        <v>6</v>
      </c>
      <c r="J104" s="77">
        <f t="shared" si="42"/>
        <v>0</v>
      </c>
      <c r="K104" s="77">
        <f t="shared" si="42"/>
        <v>0</v>
      </c>
      <c r="L104" s="869"/>
      <c r="M104" s="870" t="s">
        <v>643</v>
      </c>
      <c r="N104" s="958" t="s">
        <v>645</v>
      </c>
      <c r="O104" s="958"/>
      <c r="P104" s="92"/>
      <c r="Q104" s="69"/>
      <c r="R104" s="69"/>
      <c r="S104" s="69"/>
      <c r="T104" s="69"/>
    </row>
    <row r="105" spans="1:20" ht="15" customHeight="1">
      <c r="A105" s="897"/>
      <c r="B105" s="867"/>
      <c r="C105" s="868"/>
      <c r="D105" s="10">
        <v>2010</v>
      </c>
      <c r="E105" s="26">
        <f>SUM(F105:K105)</f>
        <v>1.3</v>
      </c>
      <c r="F105" s="62"/>
      <c r="G105" s="62"/>
      <c r="H105" s="62">
        <v>0.1</v>
      </c>
      <c r="I105" s="62">
        <v>1.2</v>
      </c>
      <c r="J105" s="62"/>
      <c r="K105" s="62"/>
      <c r="L105" s="869"/>
      <c r="M105" s="870"/>
      <c r="N105" s="958"/>
      <c r="O105" s="958"/>
      <c r="P105" s="90"/>
      <c r="Q105" s="64"/>
      <c r="R105" s="64"/>
      <c r="S105" s="64"/>
      <c r="T105" s="64"/>
    </row>
    <row r="106" spans="1:20" ht="15">
      <c r="A106" s="897"/>
      <c r="B106" s="867"/>
      <c r="C106" s="868"/>
      <c r="D106" s="10">
        <v>2011</v>
      </c>
      <c r="E106" s="26">
        <f>SUM(F106:K106)</f>
        <v>1.3</v>
      </c>
      <c r="F106" s="62"/>
      <c r="G106" s="62"/>
      <c r="H106" s="62">
        <v>0.1</v>
      </c>
      <c r="I106" s="62">
        <v>1.2</v>
      </c>
      <c r="J106" s="62"/>
      <c r="K106" s="62"/>
      <c r="L106" s="869"/>
      <c r="M106" s="870"/>
      <c r="N106" s="958"/>
      <c r="O106" s="958"/>
      <c r="P106" s="90"/>
      <c r="Q106" s="64"/>
      <c r="R106" s="64"/>
      <c r="S106" s="64"/>
      <c r="T106" s="64"/>
    </row>
    <row r="107" spans="1:20" ht="15">
      <c r="A107" s="897"/>
      <c r="B107" s="867"/>
      <c r="C107" s="868"/>
      <c r="D107" s="9">
        <v>2012</v>
      </c>
      <c r="E107" s="26">
        <f>SUM(F107:K107)</f>
        <v>1.3</v>
      </c>
      <c r="F107" s="62"/>
      <c r="G107" s="63"/>
      <c r="H107" s="62">
        <v>0.1</v>
      </c>
      <c r="I107" s="63">
        <v>1.2</v>
      </c>
      <c r="J107" s="63"/>
      <c r="K107" s="63"/>
      <c r="L107" s="869"/>
      <c r="M107" s="870"/>
      <c r="N107" s="958"/>
      <c r="O107" s="958"/>
      <c r="P107" s="90"/>
      <c r="Q107" s="64"/>
      <c r="R107" s="64"/>
      <c r="S107" s="64"/>
      <c r="T107" s="64"/>
    </row>
    <row r="108" spans="1:20" ht="15">
      <c r="A108" s="897"/>
      <c r="B108" s="867"/>
      <c r="C108" s="868"/>
      <c r="D108" s="9">
        <v>2013</v>
      </c>
      <c r="E108" s="26">
        <f>SUM(F108:K108)</f>
        <v>1.3</v>
      </c>
      <c r="F108" s="62"/>
      <c r="G108" s="63"/>
      <c r="H108" s="62">
        <v>0.1</v>
      </c>
      <c r="I108" s="63">
        <v>1.2</v>
      </c>
      <c r="J108" s="63"/>
      <c r="K108" s="63"/>
      <c r="L108" s="869"/>
      <c r="M108" s="870"/>
      <c r="N108" s="958"/>
      <c r="O108" s="958"/>
      <c r="P108" s="90"/>
      <c r="Q108" s="64"/>
      <c r="R108" s="64"/>
      <c r="S108" s="64"/>
      <c r="T108" s="64"/>
    </row>
    <row r="109" spans="1:20" ht="15">
      <c r="A109" s="897"/>
      <c r="B109" s="867"/>
      <c r="C109" s="868"/>
      <c r="D109" s="9">
        <v>2014</v>
      </c>
      <c r="E109" s="26">
        <f>SUM(F109:K109)</f>
        <v>1.3</v>
      </c>
      <c r="F109" s="62"/>
      <c r="G109" s="63"/>
      <c r="H109" s="62">
        <v>0.1</v>
      </c>
      <c r="I109" s="63">
        <v>1.2</v>
      </c>
      <c r="J109" s="63"/>
      <c r="K109" s="63"/>
      <c r="L109" s="869"/>
      <c r="M109" s="870"/>
      <c r="N109" s="958"/>
      <c r="O109" s="958"/>
      <c r="P109" s="90"/>
      <c r="Q109" s="64"/>
      <c r="R109" s="64"/>
      <c r="S109" s="64"/>
      <c r="T109" s="64"/>
    </row>
    <row r="110" spans="1:20" ht="15">
      <c r="A110" s="897">
        <f>A104+1</f>
        <v>8</v>
      </c>
      <c r="B110" s="951" t="s">
        <v>567</v>
      </c>
      <c r="C110" s="952" t="s">
        <v>39</v>
      </c>
      <c r="D110" s="129" t="s">
        <v>570</v>
      </c>
      <c r="E110" s="77">
        <f aca="true" t="shared" si="43" ref="E110:K110">SUM(E111:E115)</f>
        <v>4.2</v>
      </c>
      <c r="F110" s="77">
        <f t="shared" si="43"/>
        <v>1.2</v>
      </c>
      <c r="G110" s="77">
        <f t="shared" si="43"/>
        <v>0</v>
      </c>
      <c r="H110" s="77">
        <f t="shared" si="43"/>
        <v>0.5</v>
      </c>
      <c r="I110" s="77">
        <f t="shared" si="43"/>
        <v>2.5</v>
      </c>
      <c r="J110" s="77">
        <f t="shared" si="43"/>
        <v>0</v>
      </c>
      <c r="K110" s="77">
        <f t="shared" si="43"/>
        <v>0</v>
      </c>
      <c r="L110" s="892" t="s">
        <v>534</v>
      </c>
      <c r="M110" s="892" t="s">
        <v>533</v>
      </c>
      <c r="N110" s="35">
        <f>SUM(N111:N115)</f>
        <v>0</v>
      </c>
      <c r="O110" s="87">
        <f>SUM(O111:O115)</f>
        <v>15</v>
      </c>
      <c r="P110" s="87"/>
      <c r="Q110" s="69">
        <f>SUM(R110:T110)</f>
        <v>1.17</v>
      </c>
      <c r="R110" s="35">
        <f>SUM(R111:R115)</f>
        <v>0</v>
      </c>
      <c r="S110" s="35">
        <f>SUM(S111:S115)</f>
        <v>0.8189999999999998</v>
      </c>
      <c r="T110" s="35">
        <f>SUM(T111:T115)</f>
        <v>0.351</v>
      </c>
    </row>
    <row r="111" spans="1:20" ht="15">
      <c r="A111" s="897"/>
      <c r="B111" s="951"/>
      <c r="C111" s="953"/>
      <c r="D111" s="10">
        <v>2010</v>
      </c>
      <c r="E111" s="26">
        <f>SUM(F111:K111)</f>
        <v>0.6</v>
      </c>
      <c r="F111" s="62"/>
      <c r="G111" s="62"/>
      <c r="H111" s="62">
        <v>0.1</v>
      </c>
      <c r="I111" s="62">
        <v>0.5</v>
      </c>
      <c r="J111" s="62"/>
      <c r="K111" s="62"/>
      <c r="L111" s="892"/>
      <c r="M111" s="892"/>
      <c r="N111" s="35"/>
      <c r="O111" s="87">
        <v>15</v>
      </c>
      <c r="P111" s="87">
        <v>15</v>
      </c>
      <c r="Q111" s="17">
        <f>SUM(S111:T111)</f>
        <v>0.23399999999999999</v>
      </c>
      <c r="R111" s="352"/>
      <c r="S111" s="35">
        <f>P111*12*10*0.13*0.7/1000</f>
        <v>0.16379999999999997</v>
      </c>
      <c r="T111" s="35">
        <f>P111*12*10*0.13*0.3/1000</f>
        <v>0.0702</v>
      </c>
    </row>
    <row r="112" spans="1:20" ht="15">
      <c r="A112" s="897"/>
      <c r="B112" s="951"/>
      <c r="C112" s="953"/>
      <c r="D112" s="10">
        <v>2011</v>
      </c>
      <c r="E112" s="26">
        <f>SUM(F112:K112)</f>
        <v>0.9</v>
      </c>
      <c r="F112" s="62">
        <v>0.3</v>
      </c>
      <c r="G112" s="62"/>
      <c r="H112" s="62">
        <v>0.1</v>
      </c>
      <c r="I112" s="62">
        <v>0.5</v>
      </c>
      <c r="J112" s="62"/>
      <c r="K112" s="62"/>
      <c r="L112" s="892"/>
      <c r="M112" s="892"/>
      <c r="N112" s="35"/>
      <c r="O112" s="87">
        <v>0</v>
      </c>
      <c r="P112" s="87">
        <v>15</v>
      </c>
      <c r="Q112" s="17">
        <f>SUM(R112:T112)</f>
        <v>0.23399999999999999</v>
      </c>
      <c r="R112" s="35"/>
      <c r="S112" s="253">
        <f>P112*12*10*0.13*0.7/1000</f>
        <v>0.16379999999999997</v>
      </c>
      <c r="T112" s="35">
        <f>P112*12*10*0.13*0.3/1000</f>
        <v>0.0702</v>
      </c>
    </row>
    <row r="113" spans="1:20" ht="15">
      <c r="A113" s="897"/>
      <c r="B113" s="951"/>
      <c r="C113" s="953"/>
      <c r="D113" s="9">
        <v>2012</v>
      </c>
      <c r="E113" s="26">
        <f>SUM(F113:K113)</f>
        <v>0.9</v>
      </c>
      <c r="F113" s="62">
        <v>0.3</v>
      </c>
      <c r="G113" s="63"/>
      <c r="H113" s="62">
        <v>0.1</v>
      </c>
      <c r="I113" s="63">
        <v>0.5</v>
      </c>
      <c r="J113" s="63"/>
      <c r="K113" s="63"/>
      <c r="L113" s="892"/>
      <c r="M113" s="892"/>
      <c r="N113" s="35"/>
      <c r="O113" s="87">
        <v>0</v>
      </c>
      <c r="P113" s="87">
        <v>15</v>
      </c>
      <c r="Q113" s="17">
        <f>SUM(R113:T113)</f>
        <v>0.23399999999999999</v>
      </c>
      <c r="R113" s="35"/>
      <c r="S113" s="35">
        <f>P113*12*10*0.13*0.7/1000</f>
        <v>0.16379999999999997</v>
      </c>
      <c r="T113" s="35">
        <f>P113*12*10*0.13*0.3/1000</f>
        <v>0.0702</v>
      </c>
    </row>
    <row r="114" spans="1:20" ht="15">
      <c r="A114" s="897"/>
      <c r="B114" s="951"/>
      <c r="C114" s="953"/>
      <c r="D114" s="9">
        <v>2013</v>
      </c>
      <c r="E114" s="26">
        <f>SUM(F114:K114)</f>
        <v>0.9</v>
      </c>
      <c r="F114" s="62">
        <v>0.3</v>
      </c>
      <c r="G114" s="63"/>
      <c r="H114" s="62">
        <v>0.1</v>
      </c>
      <c r="I114" s="63">
        <v>0.5</v>
      </c>
      <c r="J114" s="63"/>
      <c r="K114" s="63"/>
      <c r="L114" s="892"/>
      <c r="M114" s="892"/>
      <c r="N114" s="35"/>
      <c r="O114" s="87">
        <v>0</v>
      </c>
      <c r="P114" s="87">
        <v>15</v>
      </c>
      <c r="Q114" s="17">
        <f>SUM(R114:T114)</f>
        <v>0.23399999999999999</v>
      </c>
      <c r="R114" s="35"/>
      <c r="S114" s="35">
        <f>P114*12*10*0.13*0.7/1000</f>
        <v>0.16379999999999997</v>
      </c>
      <c r="T114" s="35">
        <f>P114*12*10*0.13*0.3/1000</f>
        <v>0.0702</v>
      </c>
    </row>
    <row r="115" spans="1:20" ht="15">
      <c r="A115" s="897"/>
      <c r="B115" s="951"/>
      <c r="C115" s="953"/>
      <c r="D115" s="9">
        <v>2014</v>
      </c>
      <c r="E115" s="26">
        <f>SUM(F115:K115)</f>
        <v>0.9</v>
      </c>
      <c r="F115" s="62">
        <v>0.3</v>
      </c>
      <c r="G115" s="63"/>
      <c r="H115" s="62">
        <v>0.1</v>
      </c>
      <c r="I115" s="63">
        <v>0.5</v>
      </c>
      <c r="J115" s="63"/>
      <c r="K115" s="63"/>
      <c r="L115" s="892"/>
      <c r="M115" s="892"/>
      <c r="N115" s="35"/>
      <c r="O115" s="87">
        <v>0</v>
      </c>
      <c r="P115" s="87">
        <v>15</v>
      </c>
      <c r="Q115" s="17">
        <f>SUM(R115:T115)</f>
        <v>0.23399999999999999</v>
      </c>
      <c r="R115" s="35"/>
      <c r="S115" s="35">
        <f>P115*12*10*0.13*0.7/1000</f>
        <v>0.16379999999999997</v>
      </c>
      <c r="T115" s="35">
        <f>P115*12*10*0.13*0.3/1000</f>
        <v>0.0702</v>
      </c>
    </row>
    <row r="116" spans="1:20" ht="18.75" customHeight="1" hidden="1">
      <c r="A116" s="894"/>
      <c r="B116" s="894"/>
      <c r="C116" s="894"/>
      <c r="D116" s="894"/>
      <c r="E116" s="894"/>
      <c r="F116" s="894"/>
      <c r="G116" s="894"/>
      <c r="H116" s="894"/>
      <c r="I116" s="894"/>
      <c r="J116" s="894"/>
      <c r="K116" s="894"/>
      <c r="L116" s="894"/>
      <c r="M116" s="894"/>
      <c r="N116" s="894"/>
      <c r="O116" s="894"/>
      <c r="P116" s="894"/>
      <c r="Q116" s="894"/>
      <c r="R116" s="894"/>
      <c r="S116" s="894"/>
      <c r="T116" s="894"/>
    </row>
    <row r="117" spans="1:20" ht="18" customHeight="1">
      <c r="A117" s="901" t="s">
        <v>182</v>
      </c>
      <c r="B117" s="901"/>
      <c r="C117" s="901"/>
      <c r="D117" s="901"/>
      <c r="E117" s="901"/>
      <c r="F117" s="901"/>
      <c r="G117" s="901"/>
      <c r="H117" s="901"/>
      <c r="I117" s="901"/>
      <c r="J117" s="901"/>
      <c r="K117" s="901"/>
      <c r="L117" s="901"/>
      <c r="M117" s="901"/>
      <c r="N117" s="901"/>
      <c r="O117" s="901"/>
      <c r="P117" s="901"/>
      <c r="Q117" s="901"/>
      <c r="R117" s="901"/>
      <c r="S117" s="901"/>
      <c r="T117" s="901"/>
    </row>
    <row r="118" spans="1:20" ht="15" customHeight="1">
      <c r="A118" s="902"/>
      <c r="B118" s="895" t="s">
        <v>646</v>
      </c>
      <c r="C118" s="895"/>
      <c r="D118" s="41">
        <v>2010</v>
      </c>
      <c r="E118" s="52">
        <f>E126</f>
        <v>3.5999999999999996</v>
      </c>
      <c r="F118" s="52">
        <f aca="true" t="shared" si="44" ref="F118:K118">F126</f>
        <v>0</v>
      </c>
      <c r="G118" s="52">
        <f t="shared" si="44"/>
        <v>1.2</v>
      </c>
      <c r="H118" s="52">
        <f t="shared" si="44"/>
        <v>2.4</v>
      </c>
      <c r="I118" s="52">
        <f t="shared" si="44"/>
        <v>0</v>
      </c>
      <c r="J118" s="52">
        <f t="shared" si="44"/>
        <v>0</v>
      </c>
      <c r="K118" s="52">
        <f t="shared" si="44"/>
        <v>0</v>
      </c>
      <c r="L118" s="875"/>
      <c r="M118" s="875"/>
      <c r="N118" s="52">
        <f>N126</f>
        <v>0.37799999999999995</v>
      </c>
      <c r="O118" s="52">
        <f aca="true" t="shared" si="45" ref="O118:T118">O126</f>
        <v>1.7999999999999998</v>
      </c>
      <c r="P118" s="52">
        <f t="shared" si="45"/>
        <v>0</v>
      </c>
      <c r="Q118" s="52">
        <f t="shared" si="45"/>
        <v>0.39937319999999993</v>
      </c>
      <c r="R118" s="52">
        <f t="shared" si="45"/>
        <v>0.33155999999999997</v>
      </c>
      <c r="S118" s="52">
        <f t="shared" si="45"/>
        <v>0.04746923999999999</v>
      </c>
      <c r="T118" s="52">
        <f t="shared" si="45"/>
        <v>0.020343959999999998</v>
      </c>
    </row>
    <row r="119" spans="1:20" ht="15" customHeight="1">
      <c r="A119" s="902"/>
      <c r="B119" s="895"/>
      <c r="C119" s="895"/>
      <c r="D119" s="41">
        <v>2011</v>
      </c>
      <c r="E119" s="52">
        <f aca="true" t="shared" si="46" ref="E119:K122">E127</f>
        <v>3.5999999999999996</v>
      </c>
      <c r="F119" s="52">
        <f t="shared" si="46"/>
        <v>0</v>
      </c>
      <c r="G119" s="52">
        <f t="shared" si="46"/>
        <v>1.2</v>
      </c>
      <c r="H119" s="52">
        <f t="shared" si="46"/>
        <v>2.4</v>
      </c>
      <c r="I119" s="52">
        <f t="shared" si="46"/>
        <v>0</v>
      </c>
      <c r="J119" s="52">
        <f t="shared" si="46"/>
        <v>0</v>
      </c>
      <c r="K119" s="52">
        <f t="shared" si="46"/>
        <v>0</v>
      </c>
      <c r="L119" s="875"/>
      <c r="M119" s="875"/>
      <c r="N119" s="52">
        <f aca="true" t="shared" si="47" ref="N119:T122">N127</f>
        <v>0.37799999999999995</v>
      </c>
      <c r="O119" s="52">
        <f t="shared" si="47"/>
        <v>1.7999999999999998</v>
      </c>
      <c r="P119" s="52">
        <f t="shared" si="47"/>
        <v>0</v>
      </c>
      <c r="Q119" s="52">
        <f t="shared" si="47"/>
        <v>0.39937319999999993</v>
      </c>
      <c r="R119" s="52">
        <f t="shared" si="47"/>
        <v>0.33155999999999997</v>
      </c>
      <c r="S119" s="52">
        <f t="shared" si="47"/>
        <v>0.04746923999999999</v>
      </c>
      <c r="T119" s="52">
        <f t="shared" si="47"/>
        <v>0.020343959999999998</v>
      </c>
    </row>
    <row r="120" spans="1:20" ht="15" customHeight="1">
      <c r="A120" s="902"/>
      <c r="B120" s="895"/>
      <c r="C120" s="895"/>
      <c r="D120" s="42">
        <v>2012</v>
      </c>
      <c r="E120" s="52">
        <f t="shared" si="46"/>
        <v>3.5999999999999996</v>
      </c>
      <c r="F120" s="52">
        <f t="shared" si="46"/>
        <v>0</v>
      </c>
      <c r="G120" s="52">
        <f t="shared" si="46"/>
        <v>1.2</v>
      </c>
      <c r="H120" s="52">
        <f t="shared" si="46"/>
        <v>2.4</v>
      </c>
      <c r="I120" s="52">
        <f t="shared" si="46"/>
        <v>0</v>
      </c>
      <c r="J120" s="52">
        <f t="shared" si="46"/>
        <v>0</v>
      </c>
      <c r="K120" s="52">
        <f t="shared" si="46"/>
        <v>0</v>
      </c>
      <c r="L120" s="875"/>
      <c r="M120" s="875"/>
      <c r="N120" s="52">
        <f t="shared" si="47"/>
        <v>0.37799999999999995</v>
      </c>
      <c r="O120" s="52">
        <f t="shared" si="47"/>
        <v>1.7999999999999998</v>
      </c>
      <c r="P120" s="52">
        <f t="shared" si="47"/>
        <v>0</v>
      </c>
      <c r="Q120" s="52">
        <f t="shared" si="47"/>
        <v>0.39937319999999993</v>
      </c>
      <c r="R120" s="52">
        <f t="shared" si="47"/>
        <v>0.33155999999999997</v>
      </c>
      <c r="S120" s="52">
        <f t="shared" si="47"/>
        <v>0.04746923999999999</v>
      </c>
      <c r="T120" s="52">
        <f t="shared" si="47"/>
        <v>0.020343959999999998</v>
      </c>
    </row>
    <row r="121" spans="1:20" ht="15" customHeight="1">
      <c r="A121" s="902"/>
      <c r="B121" s="895"/>
      <c r="C121" s="895"/>
      <c r="D121" s="42">
        <v>2013</v>
      </c>
      <c r="E121" s="52">
        <f t="shared" si="46"/>
        <v>4.050000000000001</v>
      </c>
      <c r="F121" s="52">
        <f t="shared" si="46"/>
        <v>0</v>
      </c>
      <c r="G121" s="52">
        <f t="shared" si="46"/>
        <v>1.35</v>
      </c>
      <c r="H121" s="52">
        <f t="shared" si="46"/>
        <v>2.7</v>
      </c>
      <c r="I121" s="52">
        <f t="shared" si="46"/>
        <v>0</v>
      </c>
      <c r="J121" s="52">
        <f t="shared" si="46"/>
        <v>0</v>
      </c>
      <c r="K121" s="52">
        <f t="shared" si="46"/>
        <v>0</v>
      </c>
      <c r="L121" s="875"/>
      <c r="M121" s="875"/>
      <c r="N121" s="52">
        <f t="shared" si="47"/>
        <v>0.4252500000000001</v>
      </c>
      <c r="O121" s="52">
        <f t="shared" si="47"/>
        <v>2.0250000000000004</v>
      </c>
      <c r="P121" s="52">
        <f t="shared" si="47"/>
        <v>0</v>
      </c>
      <c r="Q121" s="52">
        <f t="shared" si="47"/>
        <v>0.44929485</v>
      </c>
      <c r="R121" s="52">
        <f t="shared" si="47"/>
        <v>0.37300500000000003</v>
      </c>
      <c r="S121" s="52">
        <f t="shared" si="47"/>
        <v>0.053402895</v>
      </c>
      <c r="T121" s="52">
        <f t="shared" si="47"/>
        <v>0.022886955</v>
      </c>
    </row>
    <row r="122" spans="1:20" ht="15" customHeight="1">
      <c r="A122" s="902"/>
      <c r="B122" s="895"/>
      <c r="C122" s="895"/>
      <c r="D122" s="42">
        <v>2014</v>
      </c>
      <c r="E122" s="52">
        <f t="shared" si="46"/>
        <v>4.5</v>
      </c>
      <c r="F122" s="52">
        <f t="shared" si="46"/>
        <v>0</v>
      </c>
      <c r="G122" s="52">
        <f t="shared" si="46"/>
        <v>1.5</v>
      </c>
      <c r="H122" s="52">
        <f t="shared" si="46"/>
        <v>3</v>
      </c>
      <c r="I122" s="52">
        <f t="shared" si="46"/>
        <v>0</v>
      </c>
      <c r="J122" s="52">
        <f t="shared" si="46"/>
        <v>0</v>
      </c>
      <c r="K122" s="52">
        <f t="shared" si="46"/>
        <v>0</v>
      </c>
      <c r="L122" s="875"/>
      <c r="M122" s="875"/>
      <c r="N122" s="52">
        <f t="shared" si="47"/>
        <v>0.4725</v>
      </c>
      <c r="O122" s="52">
        <f t="shared" si="47"/>
        <v>2.25</v>
      </c>
      <c r="P122" s="52">
        <f t="shared" si="47"/>
        <v>0</v>
      </c>
      <c r="Q122" s="52">
        <f t="shared" si="47"/>
        <v>0.49921649999999995</v>
      </c>
      <c r="R122" s="52">
        <f t="shared" si="47"/>
        <v>0.41445</v>
      </c>
      <c r="S122" s="52">
        <f t="shared" si="47"/>
        <v>0.059336549999999995</v>
      </c>
      <c r="T122" s="52">
        <f t="shared" si="47"/>
        <v>0.025429949999999996</v>
      </c>
    </row>
    <row r="123" spans="1:20" ht="18.75" customHeight="1">
      <c r="A123" s="902"/>
      <c r="B123" s="895"/>
      <c r="C123" s="895"/>
      <c r="D123" s="41" t="s">
        <v>378</v>
      </c>
      <c r="E123" s="52">
        <f>SUM(E118:E122)</f>
        <v>19.35</v>
      </c>
      <c r="F123" s="52">
        <f aca="true" t="shared" si="48" ref="F123:K123">SUM(F118:F122)</f>
        <v>0</v>
      </c>
      <c r="G123" s="52">
        <f t="shared" si="48"/>
        <v>6.449999999999999</v>
      </c>
      <c r="H123" s="52">
        <f t="shared" si="48"/>
        <v>12.899999999999999</v>
      </c>
      <c r="I123" s="52">
        <f t="shared" si="48"/>
        <v>0</v>
      </c>
      <c r="J123" s="52">
        <f t="shared" si="48"/>
        <v>0</v>
      </c>
      <c r="K123" s="52">
        <f t="shared" si="48"/>
        <v>0</v>
      </c>
      <c r="L123" s="875"/>
      <c r="M123" s="875"/>
      <c r="N123" s="52">
        <f aca="true" t="shared" si="49" ref="N123:T123">SUM(N118:N122)</f>
        <v>2.03175</v>
      </c>
      <c r="O123" s="52">
        <f t="shared" si="49"/>
        <v>9.675</v>
      </c>
      <c r="P123" s="52">
        <f t="shared" si="49"/>
        <v>0</v>
      </c>
      <c r="Q123" s="52">
        <f t="shared" si="49"/>
        <v>2.1466309499999996</v>
      </c>
      <c r="R123" s="52">
        <f t="shared" si="49"/>
        <v>1.7821349999999998</v>
      </c>
      <c r="S123" s="52">
        <f t="shared" si="49"/>
        <v>0.25514716499999995</v>
      </c>
      <c r="T123" s="52">
        <f t="shared" si="49"/>
        <v>0.10934878499999999</v>
      </c>
    </row>
    <row r="124" spans="1:20" ht="15" customHeight="1" hidden="1">
      <c r="A124" s="901"/>
      <c r="B124" s="901"/>
      <c r="C124" s="901"/>
      <c r="D124" s="901"/>
      <c r="E124" s="901"/>
      <c r="F124" s="901"/>
      <c r="G124" s="901"/>
      <c r="H124" s="901"/>
      <c r="I124" s="901"/>
      <c r="J124" s="901"/>
      <c r="K124" s="901"/>
      <c r="L124" s="901"/>
      <c r="M124" s="901"/>
      <c r="N124" s="901"/>
      <c r="O124" s="901"/>
      <c r="P124" s="901"/>
      <c r="Q124" s="901"/>
      <c r="R124" s="901"/>
      <c r="S124" s="901"/>
      <c r="T124" s="901"/>
    </row>
    <row r="125" spans="1:20" ht="15" customHeight="1">
      <c r="A125" s="897">
        <v>9</v>
      </c>
      <c r="B125" s="955" t="s">
        <v>484</v>
      </c>
      <c r="C125" s="890" t="s">
        <v>485</v>
      </c>
      <c r="D125" s="129" t="s">
        <v>570</v>
      </c>
      <c r="E125" s="77">
        <f aca="true" t="shared" si="50" ref="E125:K125">SUM(E126:E130)</f>
        <v>19.35</v>
      </c>
      <c r="F125" s="77">
        <f t="shared" si="50"/>
        <v>0</v>
      </c>
      <c r="G125" s="77">
        <f t="shared" si="50"/>
        <v>6.449999999999999</v>
      </c>
      <c r="H125" s="77">
        <f t="shared" si="50"/>
        <v>12.899999999999999</v>
      </c>
      <c r="I125" s="77">
        <f t="shared" si="50"/>
        <v>0</v>
      </c>
      <c r="J125" s="77">
        <f t="shared" si="50"/>
        <v>0</v>
      </c>
      <c r="K125" s="77">
        <f t="shared" si="50"/>
        <v>0</v>
      </c>
      <c r="L125" s="892" t="s">
        <v>395</v>
      </c>
      <c r="M125" s="892" t="s">
        <v>153</v>
      </c>
      <c r="N125" s="379">
        <f aca="true" t="shared" si="51" ref="N125:T125">SUM(N126:N130)</f>
        <v>2.03175</v>
      </c>
      <c r="O125" s="380">
        <f t="shared" si="51"/>
        <v>9.675</v>
      </c>
      <c r="P125" s="380"/>
      <c r="Q125" s="379">
        <f t="shared" si="51"/>
        <v>2.1466309499999996</v>
      </c>
      <c r="R125" s="379">
        <f t="shared" si="51"/>
        <v>1.7821349999999998</v>
      </c>
      <c r="S125" s="381">
        <f t="shared" si="51"/>
        <v>0.25514716499999995</v>
      </c>
      <c r="T125" s="381">
        <f t="shared" si="51"/>
        <v>0.10934878499999999</v>
      </c>
    </row>
    <row r="126" spans="1:20" ht="15">
      <c r="A126" s="897"/>
      <c r="B126" s="955"/>
      <c r="C126" s="890"/>
      <c r="D126" s="31">
        <v>2010</v>
      </c>
      <c r="E126" s="26">
        <f>SUM(F126:K126)</f>
        <v>3.5999999999999996</v>
      </c>
      <c r="F126" s="26"/>
      <c r="G126" s="258">
        <v>1.2</v>
      </c>
      <c r="H126" s="258">
        <v>2.4</v>
      </c>
      <c r="I126" s="258"/>
      <c r="J126" s="258"/>
      <c r="K126" s="58"/>
      <c r="L126" s="892"/>
      <c r="M126" s="892"/>
      <c r="N126" s="98">
        <f>E126*0.7*0.15</f>
        <v>0.37799999999999995</v>
      </c>
      <c r="O126" s="88">
        <f>E126/2</f>
        <v>1.7999999999999998</v>
      </c>
      <c r="P126" s="29"/>
      <c r="Q126" s="58">
        <f>SUM(R126:T126)</f>
        <v>0.39937319999999993</v>
      </c>
      <c r="R126" s="34">
        <f>E126*0.5*0.18+N126*0.02</f>
        <v>0.33155999999999997</v>
      </c>
      <c r="S126" s="101">
        <f>(N126*0.18+(O126*12*21/1000))*0.13*0.7</f>
        <v>0.04746923999999999</v>
      </c>
      <c r="T126" s="101">
        <f>(N126*0.18+(O126*12*21/1000))*0.13*0.3</f>
        <v>0.020343959999999998</v>
      </c>
    </row>
    <row r="127" spans="1:20" ht="15">
      <c r="A127" s="897"/>
      <c r="B127" s="955"/>
      <c r="C127" s="890"/>
      <c r="D127" s="31">
        <v>2011</v>
      </c>
      <c r="E127" s="26">
        <f>SUM(F127:K127)</f>
        <v>3.5999999999999996</v>
      </c>
      <c r="F127" s="26"/>
      <c r="G127" s="258">
        <v>1.2</v>
      </c>
      <c r="H127" s="258">
        <v>2.4</v>
      </c>
      <c r="I127" s="258"/>
      <c r="J127" s="258"/>
      <c r="K127" s="58"/>
      <c r="L127" s="892"/>
      <c r="M127" s="892"/>
      <c r="N127" s="99">
        <f>E127*0.7*0.15</f>
        <v>0.37799999999999995</v>
      </c>
      <c r="O127" s="100">
        <f>E127/2</f>
        <v>1.7999999999999998</v>
      </c>
      <c r="P127" s="29"/>
      <c r="Q127" s="58">
        <f>SUM(R127:T127)</f>
        <v>0.39937319999999993</v>
      </c>
      <c r="R127" s="34">
        <f>E127*0.5*0.18+N127*0.02</f>
        <v>0.33155999999999997</v>
      </c>
      <c r="S127" s="101">
        <f>(N127*0.18+(O127*12*21/1000))*0.13*0.7</f>
        <v>0.04746923999999999</v>
      </c>
      <c r="T127" s="101">
        <f>(N127*0.18+(O127*12*21/1000))*0.13*0.3</f>
        <v>0.020343959999999998</v>
      </c>
    </row>
    <row r="128" spans="1:20" ht="16.5" customHeight="1">
      <c r="A128" s="897"/>
      <c r="B128" s="955"/>
      <c r="C128" s="890"/>
      <c r="D128" s="31">
        <v>2012</v>
      </c>
      <c r="E128" s="26">
        <f>SUM(F128:K128)</f>
        <v>3.5999999999999996</v>
      </c>
      <c r="F128" s="26"/>
      <c r="G128" s="258">
        <v>1.2</v>
      </c>
      <c r="H128" s="258">
        <v>2.4</v>
      </c>
      <c r="I128" s="258"/>
      <c r="J128" s="258"/>
      <c r="K128" s="58"/>
      <c r="L128" s="892"/>
      <c r="M128" s="892"/>
      <c r="N128" s="99">
        <f>E128*0.7*0.15</f>
        <v>0.37799999999999995</v>
      </c>
      <c r="O128" s="100">
        <f>E128/2</f>
        <v>1.7999999999999998</v>
      </c>
      <c r="P128" s="29"/>
      <c r="Q128" s="58">
        <f>SUM(R128:T128)</f>
        <v>0.39937319999999993</v>
      </c>
      <c r="R128" s="34">
        <f>E128*0.5*0.18+N128*0.02</f>
        <v>0.33155999999999997</v>
      </c>
      <c r="S128" s="101">
        <f>(N128*0.18+(O128*12*21/1000))*0.13*0.7</f>
        <v>0.04746923999999999</v>
      </c>
      <c r="T128" s="101">
        <f>(N128*0.18+(O128*12*21/1000))*0.13*0.3</f>
        <v>0.020343959999999998</v>
      </c>
    </row>
    <row r="129" spans="1:34" s="39" customFormat="1" ht="16.5" customHeight="1">
      <c r="A129" s="897"/>
      <c r="B129" s="955"/>
      <c r="C129" s="890"/>
      <c r="D129" s="31">
        <v>2013</v>
      </c>
      <c r="E129" s="26">
        <f>SUM(F129:K129)</f>
        <v>4.050000000000001</v>
      </c>
      <c r="F129" s="26"/>
      <c r="G129" s="258">
        <f>2.7/2</f>
        <v>1.35</v>
      </c>
      <c r="H129" s="258">
        <v>2.7</v>
      </c>
      <c r="I129" s="258"/>
      <c r="J129" s="258"/>
      <c r="K129" s="58"/>
      <c r="L129" s="892"/>
      <c r="M129" s="892"/>
      <c r="N129" s="99">
        <f>E129*0.7*0.15</f>
        <v>0.4252500000000001</v>
      </c>
      <c r="O129" s="100">
        <f>E129/2</f>
        <v>2.0250000000000004</v>
      </c>
      <c r="P129" s="29"/>
      <c r="Q129" s="58">
        <f>SUM(R129:T129)</f>
        <v>0.44929485</v>
      </c>
      <c r="R129" s="34">
        <f>E129*0.5*0.18+N129*0.02</f>
        <v>0.37300500000000003</v>
      </c>
      <c r="S129" s="101">
        <f>(N129*0.18+(O129*12*21/1000))*0.13*0.7</f>
        <v>0.053402895</v>
      </c>
      <c r="T129" s="101">
        <f>(N129*0.18+(O129*12*21/1000))*0.13*0.3</f>
        <v>0.022886955</v>
      </c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</row>
    <row r="130" spans="1:34" s="39" customFormat="1" ht="36.75" customHeight="1">
      <c r="A130" s="897"/>
      <c r="B130" s="955"/>
      <c r="C130" s="890"/>
      <c r="D130" s="31">
        <v>2014</v>
      </c>
      <c r="E130" s="26">
        <f>SUM(F130:K130)</f>
        <v>4.5</v>
      </c>
      <c r="F130" s="26"/>
      <c r="G130" s="258">
        <v>1.5</v>
      </c>
      <c r="H130" s="258">
        <v>3</v>
      </c>
      <c r="I130" s="258"/>
      <c r="J130" s="258"/>
      <c r="K130" s="58"/>
      <c r="L130" s="892"/>
      <c r="M130" s="892"/>
      <c r="N130" s="99">
        <f>E130*0.7*0.15</f>
        <v>0.4725</v>
      </c>
      <c r="O130" s="100">
        <f>E130/2</f>
        <v>2.25</v>
      </c>
      <c r="P130" s="29"/>
      <c r="Q130" s="58">
        <f>SUM(R130:T130)</f>
        <v>0.49921649999999995</v>
      </c>
      <c r="R130" s="34">
        <f>E130*0.5*0.18+N130*0.02</f>
        <v>0.41445</v>
      </c>
      <c r="S130" s="101">
        <f>(N130*0.18+(O130*12*21/1000))*0.13*0.7</f>
        <v>0.059336549999999995</v>
      </c>
      <c r="T130" s="101">
        <f>(N130*0.18+(O130*12*21/1000))*0.13*0.3</f>
        <v>0.025429949999999996</v>
      </c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</row>
    <row r="131" spans="1:34" s="39" customFormat="1" ht="16.5" customHeight="1" hidden="1">
      <c r="A131" s="896"/>
      <c r="B131" s="896"/>
      <c r="C131" s="896"/>
      <c r="D131" s="896"/>
      <c r="E131" s="896"/>
      <c r="F131" s="896"/>
      <c r="G131" s="896"/>
      <c r="H131" s="896"/>
      <c r="I131" s="896"/>
      <c r="J131" s="896"/>
      <c r="K131" s="896"/>
      <c r="L131" s="896"/>
      <c r="M131" s="896"/>
      <c r="N131" s="896"/>
      <c r="O131" s="896"/>
      <c r="P131" s="896"/>
      <c r="Q131" s="896"/>
      <c r="R131" s="896"/>
      <c r="S131" s="896"/>
      <c r="T131" s="896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</row>
    <row r="132" spans="1:20" ht="15.75">
      <c r="A132" s="894" t="s">
        <v>183</v>
      </c>
      <c r="B132" s="894"/>
      <c r="C132" s="894"/>
      <c r="D132" s="894"/>
      <c r="E132" s="894"/>
      <c r="F132" s="894"/>
      <c r="G132" s="894"/>
      <c r="H132" s="894"/>
      <c r="I132" s="894"/>
      <c r="J132" s="894"/>
      <c r="K132" s="894"/>
      <c r="L132" s="894"/>
      <c r="M132" s="894"/>
      <c r="N132" s="894"/>
      <c r="O132" s="894"/>
      <c r="P132" s="894"/>
      <c r="Q132" s="894"/>
      <c r="R132" s="894"/>
      <c r="S132" s="894"/>
      <c r="T132" s="894"/>
    </row>
    <row r="133" spans="1:20" ht="15">
      <c r="A133" s="873"/>
      <c r="B133" s="895" t="s">
        <v>646</v>
      </c>
      <c r="C133" s="895"/>
      <c r="D133" s="41">
        <v>2010</v>
      </c>
      <c r="E133" s="52">
        <f aca="true" t="shared" si="52" ref="E133:K134">E140+E189+E220+E252</f>
        <v>96.36</v>
      </c>
      <c r="F133" s="52">
        <f t="shared" si="52"/>
        <v>81.5</v>
      </c>
      <c r="G133" s="52">
        <f t="shared" si="52"/>
        <v>0</v>
      </c>
      <c r="H133" s="52">
        <f t="shared" si="52"/>
        <v>3.2</v>
      </c>
      <c r="I133" s="52">
        <f t="shared" si="52"/>
        <v>11.66</v>
      </c>
      <c r="J133" s="52">
        <f t="shared" si="52"/>
        <v>0</v>
      </c>
      <c r="K133" s="52">
        <f t="shared" si="52"/>
        <v>0</v>
      </c>
      <c r="L133" s="875"/>
      <c r="M133" s="875"/>
      <c r="N133" s="82">
        <f aca="true" t="shared" si="53" ref="N133:O138">N140+N189+N220</f>
        <v>9.697799999999999</v>
      </c>
      <c r="O133" s="82">
        <f t="shared" si="53"/>
        <v>46.43</v>
      </c>
      <c r="P133" s="82"/>
      <c r="Q133" s="52">
        <f aca="true" t="shared" si="54" ref="Q133:T138">Q140+Q189+Q220</f>
        <v>12.731326439999998</v>
      </c>
      <c r="R133" s="52">
        <f t="shared" si="54"/>
        <v>10.306356</v>
      </c>
      <c r="S133" s="52">
        <f t="shared" si="54"/>
        <v>1.980979308</v>
      </c>
      <c r="T133" s="52">
        <f t="shared" si="54"/>
        <v>0.44399113200000007</v>
      </c>
    </row>
    <row r="134" spans="1:20" ht="53.25" customHeight="1">
      <c r="A134" s="873"/>
      <c r="B134" s="895"/>
      <c r="C134" s="895"/>
      <c r="D134" s="41">
        <v>2011</v>
      </c>
      <c r="E134" s="52">
        <f t="shared" si="52"/>
        <v>290.4433333333333</v>
      </c>
      <c r="F134" s="52">
        <f t="shared" si="52"/>
        <v>253.34833333333333</v>
      </c>
      <c r="G134" s="52">
        <f t="shared" si="52"/>
        <v>0</v>
      </c>
      <c r="H134" s="52">
        <f t="shared" si="52"/>
        <v>19.009999999999998</v>
      </c>
      <c r="I134" s="52">
        <f t="shared" si="52"/>
        <v>18.085</v>
      </c>
      <c r="J134" s="52">
        <f t="shared" si="52"/>
        <v>0</v>
      </c>
      <c r="K134" s="52">
        <f t="shared" si="52"/>
        <v>0</v>
      </c>
      <c r="L134" s="875"/>
      <c r="M134" s="875"/>
      <c r="N134" s="82">
        <f t="shared" si="53"/>
        <v>28.99155</v>
      </c>
      <c r="O134" s="82">
        <f t="shared" si="53"/>
        <v>150.155</v>
      </c>
      <c r="P134" s="82"/>
      <c r="Q134" s="52">
        <f t="shared" si="54"/>
        <v>32.67701619</v>
      </c>
      <c r="R134" s="52">
        <f t="shared" si="54"/>
        <v>27.229731000000005</v>
      </c>
      <c r="S134" s="52">
        <f t="shared" si="54"/>
        <v>4.096599632999999</v>
      </c>
      <c r="T134" s="52">
        <f t="shared" si="54"/>
        <v>1.350685557</v>
      </c>
    </row>
    <row r="135" spans="1:20" ht="24.75" customHeight="1">
      <c r="A135" s="873"/>
      <c r="B135" s="895"/>
      <c r="C135" s="895"/>
      <c r="D135" s="42">
        <v>2012</v>
      </c>
      <c r="E135" s="52">
        <f aca="true" t="shared" si="55" ref="E135:K138">E142+E191+E222</f>
        <v>300.71333333333337</v>
      </c>
      <c r="F135" s="52">
        <f t="shared" si="55"/>
        <v>256.065</v>
      </c>
      <c r="G135" s="52">
        <f t="shared" si="55"/>
        <v>0</v>
      </c>
      <c r="H135" s="52">
        <f t="shared" si="55"/>
        <v>24.509999999999998</v>
      </c>
      <c r="I135" s="52">
        <f t="shared" si="55"/>
        <v>20.105</v>
      </c>
      <c r="J135" s="52">
        <f t="shared" si="55"/>
        <v>0</v>
      </c>
      <c r="K135" s="52">
        <f t="shared" si="55"/>
        <v>0</v>
      </c>
      <c r="L135" s="875"/>
      <c r="M135" s="875"/>
      <c r="N135" s="82">
        <f t="shared" si="53"/>
        <v>27.5919</v>
      </c>
      <c r="O135" s="82">
        <f t="shared" si="53"/>
        <v>8.9575</v>
      </c>
      <c r="P135" s="82"/>
      <c r="Q135" s="52">
        <f t="shared" si="54"/>
        <v>29.67382128</v>
      </c>
      <c r="R135" s="52">
        <f t="shared" si="54"/>
        <v>26.002038000000002</v>
      </c>
      <c r="S135" s="52">
        <f t="shared" si="54"/>
        <v>2.853748296</v>
      </c>
      <c r="T135" s="52">
        <f t="shared" si="54"/>
        <v>0.8180349840000001</v>
      </c>
    </row>
    <row r="136" spans="1:20" ht="24.75" customHeight="1">
      <c r="A136" s="873"/>
      <c r="B136" s="895"/>
      <c r="C136" s="895"/>
      <c r="D136" s="42">
        <v>2013</v>
      </c>
      <c r="E136" s="52">
        <f t="shared" si="55"/>
        <v>468.7199999999999</v>
      </c>
      <c r="F136" s="52">
        <f t="shared" si="55"/>
        <v>415.265</v>
      </c>
      <c r="G136" s="52">
        <f t="shared" si="55"/>
        <v>0</v>
      </c>
      <c r="H136" s="52">
        <f t="shared" si="55"/>
        <v>33.47</v>
      </c>
      <c r="I136" s="52">
        <f t="shared" si="55"/>
        <v>19.984999999999996</v>
      </c>
      <c r="J136" s="52">
        <f t="shared" si="55"/>
        <v>0</v>
      </c>
      <c r="K136" s="52">
        <f t="shared" si="55"/>
        <v>0</v>
      </c>
      <c r="L136" s="875"/>
      <c r="M136" s="875"/>
      <c r="N136" s="82">
        <f t="shared" si="53"/>
        <v>29.4756</v>
      </c>
      <c r="O136" s="82">
        <f t="shared" si="53"/>
        <v>26.427500000000002</v>
      </c>
      <c r="P136" s="82"/>
      <c r="Q136" s="52">
        <f t="shared" si="54"/>
        <v>44.32109106</v>
      </c>
      <c r="R136" s="52">
        <f t="shared" si="54"/>
        <v>33.884312</v>
      </c>
      <c r="S136" s="52">
        <f t="shared" si="54"/>
        <v>7.921245342</v>
      </c>
      <c r="T136" s="52">
        <f t="shared" si="54"/>
        <v>2.515533718</v>
      </c>
    </row>
    <row r="137" spans="1:20" ht="22.5" customHeight="1">
      <c r="A137" s="873"/>
      <c r="B137" s="895"/>
      <c r="C137" s="895"/>
      <c r="D137" s="42">
        <v>2014</v>
      </c>
      <c r="E137" s="52">
        <f t="shared" si="55"/>
        <v>495.3116666666667</v>
      </c>
      <c r="F137" s="52">
        <f t="shared" si="55"/>
        <v>448.33166666666665</v>
      </c>
      <c r="G137" s="52">
        <f t="shared" si="55"/>
        <v>0</v>
      </c>
      <c r="H137" s="52">
        <f t="shared" si="55"/>
        <v>31.244999999999997</v>
      </c>
      <c r="I137" s="52">
        <f t="shared" si="55"/>
        <v>15.734999999999998</v>
      </c>
      <c r="J137" s="52">
        <f t="shared" si="55"/>
        <v>0</v>
      </c>
      <c r="K137" s="52">
        <f t="shared" si="55"/>
        <v>0</v>
      </c>
      <c r="L137" s="875"/>
      <c r="M137" s="875"/>
      <c r="N137" s="82">
        <f t="shared" si="53"/>
        <v>42.412725</v>
      </c>
      <c r="O137" s="82">
        <f t="shared" si="53"/>
        <v>20.3275</v>
      </c>
      <c r="P137" s="82"/>
      <c r="Q137" s="52">
        <f t="shared" si="54"/>
        <v>45.464766284999996</v>
      </c>
      <c r="R137" s="52">
        <f t="shared" si="54"/>
        <v>34.706304499999995</v>
      </c>
      <c r="S137" s="52">
        <f t="shared" si="54"/>
        <v>8.146423249500002</v>
      </c>
      <c r="T137" s="52">
        <f t="shared" si="54"/>
        <v>2.6120385355</v>
      </c>
    </row>
    <row r="138" spans="1:20" ht="29.25" customHeight="1">
      <c r="A138" s="873"/>
      <c r="B138" s="895"/>
      <c r="C138" s="895"/>
      <c r="D138" s="41" t="s">
        <v>378</v>
      </c>
      <c r="E138" s="52">
        <f t="shared" si="55"/>
        <v>1651.5483333333332</v>
      </c>
      <c r="F138" s="52">
        <f t="shared" si="55"/>
        <v>1454.51</v>
      </c>
      <c r="G138" s="52">
        <f t="shared" si="55"/>
        <v>0</v>
      </c>
      <c r="H138" s="52">
        <f t="shared" si="55"/>
        <v>111.435</v>
      </c>
      <c r="I138" s="52">
        <f t="shared" si="55"/>
        <v>85.57000000000001</v>
      </c>
      <c r="J138" s="52">
        <f t="shared" si="55"/>
        <v>0</v>
      </c>
      <c r="K138" s="52">
        <f t="shared" si="55"/>
        <v>0</v>
      </c>
      <c r="L138" s="875"/>
      <c r="M138" s="875"/>
      <c r="N138" s="82">
        <f t="shared" si="53"/>
        <v>138.16957499999998</v>
      </c>
      <c r="O138" s="82">
        <f t="shared" si="53"/>
        <v>252.29749999999999</v>
      </c>
      <c r="P138" s="82"/>
      <c r="Q138" s="52">
        <f t="shared" si="54"/>
        <v>164.868021255</v>
      </c>
      <c r="R138" s="52">
        <f t="shared" si="54"/>
        <v>132.1287415</v>
      </c>
      <c r="S138" s="52">
        <f t="shared" si="54"/>
        <v>24.9989958285</v>
      </c>
      <c r="T138" s="52">
        <f t="shared" si="54"/>
        <v>7.740283926500001</v>
      </c>
    </row>
    <row r="139" spans="1:20" ht="21" customHeight="1">
      <c r="A139" s="881" t="s">
        <v>184</v>
      </c>
      <c r="B139" s="881"/>
      <c r="C139" s="881"/>
      <c r="D139" s="881"/>
      <c r="E139" s="881"/>
      <c r="F139" s="881"/>
      <c r="G139" s="881"/>
      <c r="H139" s="881"/>
      <c r="I139" s="881"/>
      <c r="J139" s="881"/>
      <c r="K139" s="881"/>
      <c r="L139" s="881"/>
      <c r="M139" s="881"/>
      <c r="N139" s="881"/>
      <c r="O139" s="881"/>
      <c r="P139" s="881"/>
      <c r="Q139" s="881"/>
      <c r="R139" s="881"/>
      <c r="S139" s="881"/>
      <c r="T139" s="881"/>
    </row>
    <row r="140" spans="1:20" ht="21.75" customHeight="1">
      <c r="A140" s="888"/>
      <c r="B140" s="885" t="s">
        <v>647</v>
      </c>
      <c r="C140" s="885"/>
      <c r="D140" s="22">
        <v>2010</v>
      </c>
      <c r="E140" s="60">
        <f>E147+E153+E159+E165+E171+E177+E183</f>
        <v>40.14</v>
      </c>
      <c r="F140" s="60">
        <f aca="true" t="shared" si="56" ref="F140:K140">F147+F153+F159+F165+F171+F177+F183</f>
        <v>30</v>
      </c>
      <c r="G140" s="60">
        <f t="shared" si="56"/>
        <v>0</v>
      </c>
      <c r="H140" s="60">
        <f t="shared" si="56"/>
        <v>1.2</v>
      </c>
      <c r="I140" s="60">
        <f t="shared" si="56"/>
        <v>8.940000000000001</v>
      </c>
      <c r="J140" s="60">
        <f t="shared" si="56"/>
        <v>0</v>
      </c>
      <c r="K140" s="60">
        <f t="shared" si="56"/>
        <v>0</v>
      </c>
      <c r="L140" s="889"/>
      <c r="M140" s="889"/>
      <c r="N140" s="102">
        <f>N147+N153+N159+N165+N171</f>
        <v>3.794699999999999</v>
      </c>
      <c r="O140" s="102">
        <f aca="true" t="shared" si="57" ref="O140:T140">O147+O153+O159+O165+O171</f>
        <v>18.07</v>
      </c>
      <c r="P140" s="102">
        <f t="shared" si="57"/>
        <v>18.07</v>
      </c>
      <c r="Q140" s="102">
        <f t="shared" si="57"/>
        <v>4.00926318</v>
      </c>
      <c r="R140" s="102">
        <f t="shared" si="57"/>
        <v>3.328493999999999</v>
      </c>
      <c r="S140" s="102">
        <f t="shared" si="57"/>
        <v>0.47653842599999996</v>
      </c>
      <c r="T140" s="102">
        <f t="shared" si="57"/>
        <v>0.204230754</v>
      </c>
    </row>
    <row r="141" spans="1:20" ht="26.25" customHeight="1">
      <c r="A141" s="888"/>
      <c r="B141" s="885"/>
      <c r="C141" s="885"/>
      <c r="D141" s="22">
        <v>2011</v>
      </c>
      <c r="E141" s="60">
        <f aca="true" t="shared" si="58" ref="E141:K144">E148+E154+E160+E166+E172+E178+E184</f>
        <v>206.10333333333332</v>
      </c>
      <c r="F141" s="60">
        <f t="shared" si="58"/>
        <v>178.34833333333333</v>
      </c>
      <c r="G141" s="60">
        <f t="shared" si="58"/>
        <v>0</v>
      </c>
      <c r="H141" s="60">
        <f t="shared" si="58"/>
        <v>12.94</v>
      </c>
      <c r="I141" s="60">
        <f t="shared" si="58"/>
        <v>14.815</v>
      </c>
      <c r="J141" s="60">
        <f t="shared" si="58"/>
        <v>0</v>
      </c>
      <c r="K141" s="60">
        <f t="shared" si="58"/>
        <v>0</v>
      </c>
      <c r="L141" s="889"/>
      <c r="M141" s="889"/>
      <c r="N141" s="102">
        <f aca="true" t="shared" si="59" ref="N141:T144">N148+N154+N160+N166+N172</f>
        <v>20.13585</v>
      </c>
      <c r="O141" s="102">
        <f t="shared" si="59"/>
        <v>82.48499999999999</v>
      </c>
      <c r="P141" s="102">
        <f t="shared" si="59"/>
        <v>95.88499999999999</v>
      </c>
      <c r="Q141" s="102">
        <f t="shared" si="59"/>
        <v>20.83540449</v>
      </c>
      <c r="R141" s="102">
        <f t="shared" si="59"/>
        <v>17.662017000000002</v>
      </c>
      <c r="S141" s="102">
        <f t="shared" si="59"/>
        <v>2.2213712429999997</v>
      </c>
      <c r="T141" s="102">
        <f t="shared" si="59"/>
        <v>0.952016247</v>
      </c>
    </row>
    <row r="142" spans="1:20" ht="15">
      <c r="A142" s="888"/>
      <c r="B142" s="885"/>
      <c r="C142" s="885"/>
      <c r="D142" s="22">
        <v>2012</v>
      </c>
      <c r="E142" s="60">
        <f t="shared" si="58"/>
        <v>164.43333333333334</v>
      </c>
      <c r="F142" s="60">
        <f t="shared" si="58"/>
        <v>131.065</v>
      </c>
      <c r="G142" s="60">
        <f t="shared" si="58"/>
        <v>0</v>
      </c>
      <c r="H142" s="60">
        <f t="shared" si="58"/>
        <v>16.5</v>
      </c>
      <c r="I142" s="60">
        <f t="shared" si="58"/>
        <v>16.835</v>
      </c>
      <c r="J142" s="60">
        <f t="shared" si="58"/>
        <v>0</v>
      </c>
      <c r="K142" s="60">
        <f t="shared" si="58"/>
        <v>0</v>
      </c>
      <c r="L142" s="889"/>
      <c r="M142" s="889"/>
      <c r="N142" s="102">
        <f t="shared" si="59"/>
        <v>13.282499999999999</v>
      </c>
      <c r="O142" s="102">
        <f t="shared" si="59"/>
        <v>3.3175</v>
      </c>
      <c r="P142" s="102">
        <f t="shared" si="59"/>
        <v>63.25</v>
      </c>
      <c r="Q142" s="102">
        <f t="shared" si="59"/>
        <v>12.0701418</v>
      </c>
      <c r="R142" s="102">
        <f t="shared" si="59"/>
        <v>11.650650000000002</v>
      </c>
      <c r="S142" s="102">
        <f t="shared" si="59"/>
        <v>0.29364425999999993</v>
      </c>
      <c r="T142" s="102">
        <f t="shared" si="59"/>
        <v>0.12584753999999998</v>
      </c>
    </row>
    <row r="143" spans="1:20" ht="15">
      <c r="A143" s="888"/>
      <c r="B143" s="885"/>
      <c r="C143" s="885"/>
      <c r="D143" s="22">
        <v>2013</v>
      </c>
      <c r="E143" s="60">
        <f t="shared" si="58"/>
        <v>179.37999999999997</v>
      </c>
      <c r="F143" s="60">
        <f t="shared" si="58"/>
        <v>140.265</v>
      </c>
      <c r="G143" s="60">
        <f t="shared" si="58"/>
        <v>0</v>
      </c>
      <c r="H143" s="60">
        <f t="shared" si="58"/>
        <v>22.400000000000002</v>
      </c>
      <c r="I143" s="60">
        <f t="shared" si="58"/>
        <v>16.714999999999996</v>
      </c>
      <c r="J143" s="60">
        <f t="shared" si="58"/>
        <v>0</v>
      </c>
      <c r="K143" s="60">
        <f t="shared" si="58"/>
        <v>0</v>
      </c>
      <c r="L143" s="889"/>
      <c r="M143" s="889"/>
      <c r="N143" s="102">
        <f t="shared" si="59"/>
        <v>14.844899999999999</v>
      </c>
      <c r="O143" s="102">
        <f t="shared" si="59"/>
        <v>4.2575</v>
      </c>
      <c r="P143" s="102">
        <f t="shared" si="59"/>
        <v>70.68999999999998</v>
      </c>
      <c r="Q143" s="102">
        <f t="shared" si="59"/>
        <v>13.50794436</v>
      </c>
      <c r="R143" s="102">
        <f t="shared" si="59"/>
        <v>13.021098</v>
      </c>
      <c r="S143" s="102">
        <f t="shared" si="59"/>
        <v>0.3407924519999999</v>
      </c>
      <c r="T143" s="102">
        <f t="shared" si="59"/>
        <v>0.14605390799999995</v>
      </c>
    </row>
    <row r="144" spans="1:20" ht="15">
      <c r="A144" s="888"/>
      <c r="B144" s="885"/>
      <c r="C144" s="885"/>
      <c r="D144" s="22">
        <v>2014</v>
      </c>
      <c r="E144" s="60">
        <f t="shared" si="58"/>
        <v>156.47166666666666</v>
      </c>
      <c r="F144" s="60">
        <f t="shared" si="58"/>
        <v>119.83166666666666</v>
      </c>
      <c r="G144" s="60">
        <f t="shared" si="58"/>
        <v>0</v>
      </c>
      <c r="H144" s="60">
        <f t="shared" si="58"/>
        <v>22.325</v>
      </c>
      <c r="I144" s="60">
        <f t="shared" si="58"/>
        <v>14.314999999999998</v>
      </c>
      <c r="J144" s="60">
        <f t="shared" si="58"/>
        <v>0</v>
      </c>
      <c r="K144" s="60">
        <f t="shared" si="58"/>
        <v>0</v>
      </c>
      <c r="L144" s="889"/>
      <c r="M144" s="889"/>
      <c r="N144" s="102">
        <f t="shared" si="59"/>
        <v>13.209525</v>
      </c>
      <c r="O144" s="102">
        <f t="shared" si="59"/>
        <v>1.1575</v>
      </c>
      <c r="P144" s="102">
        <f t="shared" si="59"/>
        <v>62.9025</v>
      </c>
      <c r="Q144" s="102">
        <f t="shared" si="59"/>
        <v>11.933663085</v>
      </c>
      <c r="R144" s="102">
        <f t="shared" si="59"/>
        <v>11.586640499999998</v>
      </c>
      <c r="S144" s="102">
        <f t="shared" si="59"/>
        <v>0.24291580949999994</v>
      </c>
      <c r="T144" s="102">
        <f t="shared" si="59"/>
        <v>0.10410677549999997</v>
      </c>
    </row>
    <row r="145" spans="1:20" ht="15">
      <c r="A145" s="888"/>
      <c r="B145" s="885"/>
      <c r="C145" s="885"/>
      <c r="D145" s="22" t="s">
        <v>378</v>
      </c>
      <c r="E145" s="60">
        <f>SUM(E140:E144)</f>
        <v>746.5283333333333</v>
      </c>
      <c r="F145" s="60">
        <f aca="true" t="shared" si="60" ref="F145:K145">SUM(F140:F144)</f>
        <v>599.51</v>
      </c>
      <c r="G145" s="60">
        <f t="shared" si="60"/>
        <v>0</v>
      </c>
      <c r="H145" s="60">
        <f t="shared" si="60"/>
        <v>75.36500000000001</v>
      </c>
      <c r="I145" s="60">
        <f t="shared" si="60"/>
        <v>71.62</v>
      </c>
      <c r="J145" s="60">
        <f t="shared" si="60"/>
        <v>0</v>
      </c>
      <c r="K145" s="60">
        <f t="shared" si="60"/>
        <v>0</v>
      </c>
      <c r="L145" s="889"/>
      <c r="M145" s="889"/>
      <c r="N145" s="102">
        <f aca="true" t="shared" si="61" ref="N145:T145">SUM(N140:N144)</f>
        <v>65.26747499999999</v>
      </c>
      <c r="O145" s="102">
        <f t="shared" si="61"/>
        <v>109.28749999999997</v>
      </c>
      <c r="P145" s="102"/>
      <c r="Q145" s="60">
        <f t="shared" si="61"/>
        <v>62.356416915000004</v>
      </c>
      <c r="R145" s="60">
        <f t="shared" si="61"/>
        <v>57.24889950000001</v>
      </c>
      <c r="S145" s="60">
        <f t="shared" si="61"/>
        <v>3.5752621904999993</v>
      </c>
      <c r="T145" s="60">
        <f t="shared" si="61"/>
        <v>1.5322552244999996</v>
      </c>
    </row>
    <row r="146" spans="1:20" ht="56.25" customHeight="1">
      <c r="A146" s="866">
        <v>10</v>
      </c>
      <c r="B146" s="951" t="s">
        <v>489</v>
      </c>
      <c r="C146" s="893" t="s">
        <v>648</v>
      </c>
      <c r="D146" s="129" t="s">
        <v>570</v>
      </c>
      <c r="E146" s="57">
        <f aca="true" t="shared" si="62" ref="E146:K146">E147+E148+E149+E150+E151</f>
        <v>378.2</v>
      </c>
      <c r="F146" s="57">
        <f t="shared" si="62"/>
        <v>365.9</v>
      </c>
      <c r="G146" s="57">
        <f t="shared" si="62"/>
        <v>0</v>
      </c>
      <c r="H146" s="57">
        <f t="shared" si="62"/>
        <v>10</v>
      </c>
      <c r="I146" s="57">
        <f t="shared" si="62"/>
        <v>2.3</v>
      </c>
      <c r="J146" s="57">
        <f t="shared" si="62"/>
        <v>0</v>
      </c>
      <c r="K146" s="57">
        <f t="shared" si="62"/>
        <v>0</v>
      </c>
      <c r="L146" s="892" t="s">
        <v>540</v>
      </c>
      <c r="M146" s="892" t="s">
        <v>781</v>
      </c>
      <c r="N146" s="379">
        <f aca="true" t="shared" si="63" ref="N146:T146">SUM(N147:N151)</f>
        <v>39.711</v>
      </c>
      <c r="O146" s="380">
        <f>SUM(O147:O151)</f>
        <v>71.15</v>
      </c>
      <c r="P146" s="380">
        <f>SUM(P147:P151)</f>
        <v>189.1</v>
      </c>
      <c r="Q146" s="379">
        <f t="shared" si="63"/>
        <v>38.0923314</v>
      </c>
      <c r="R146" s="379">
        <f t="shared" si="63"/>
        <v>34.83222</v>
      </c>
      <c r="S146" s="379">
        <f t="shared" si="63"/>
        <v>2.282077979999999</v>
      </c>
      <c r="T146" s="379">
        <f t="shared" si="63"/>
        <v>0.9780334199999998</v>
      </c>
    </row>
    <row r="147" spans="1:20" ht="15" customHeight="1">
      <c r="A147" s="957"/>
      <c r="B147" s="951"/>
      <c r="C147" s="893"/>
      <c r="D147" s="9">
        <v>2010</v>
      </c>
      <c r="E147" s="56">
        <f>SUM(F147:K147)</f>
        <v>32.3</v>
      </c>
      <c r="F147" s="56">
        <f>30</f>
        <v>30</v>
      </c>
      <c r="G147" s="56"/>
      <c r="H147" s="56"/>
      <c r="I147" s="56">
        <v>2.3</v>
      </c>
      <c r="J147" s="56"/>
      <c r="K147" s="56"/>
      <c r="L147" s="892"/>
      <c r="M147" s="892"/>
      <c r="N147" s="98">
        <f>E147*0.7*0.15</f>
        <v>3.3914999999999993</v>
      </c>
      <c r="O147" s="88">
        <f>E147/2</f>
        <v>16.15</v>
      </c>
      <c r="P147" s="88">
        <f>E147/2</f>
        <v>16.15</v>
      </c>
      <c r="Q147" s="58">
        <f>SUM(R147:T147)</f>
        <v>3.5832650999999998</v>
      </c>
      <c r="R147" s="34">
        <f>E147*0.5*0.18+N147*0.02</f>
        <v>2.9748299999999994</v>
      </c>
      <c r="S147" s="101">
        <f>(N147*0.18+(O147*12*21/1000))*0.13*0.7</f>
        <v>0.42590457</v>
      </c>
      <c r="T147" s="101">
        <f>(N147*0.18+(O147*12*21/1000))*0.13*0.3</f>
        <v>0.18253053</v>
      </c>
    </row>
    <row r="148" spans="1:34" s="39" customFormat="1" ht="38.25" customHeight="1">
      <c r="A148" s="957"/>
      <c r="B148" s="951"/>
      <c r="C148" s="893"/>
      <c r="D148" s="9">
        <v>2011</v>
      </c>
      <c r="E148" s="56">
        <f>SUM(F148:K148)</f>
        <v>136.8</v>
      </c>
      <c r="F148" s="56">
        <f>139.9-5.1</f>
        <v>134.8</v>
      </c>
      <c r="G148" s="56"/>
      <c r="H148" s="56">
        <v>2</v>
      </c>
      <c r="I148" s="56"/>
      <c r="J148" s="56"/>
      <c r="K148" s="56"/>
      <c r="L148" s="892"/>
      <c r="M148" s="892"/>
      <c r="N148" s="98">
        <f>E148*0.7*0.15</f>
        <v>14.364</v>
      </c>
      <c r="O148" s="88">
        <f>71-16</f>
        <v>55</v>
      </c>
      <c r="P148" s="88">
        <f>E148/2</f>
        <v>68.4</v>
      </c>
      <c r="Q148" s="58">
        <f>SUM(R148:T148)</f>
        <v>14.737197600000002</v>
      </c>
      <c r="R148" s="34">
        <f>E148*0.5*0.18+N148*0.02</f>
        <v>12.599280000000002</v>
      </c>
      <c r="S148" s="101">
        <f>(N148*0.18+(O148*12*21/1000))*0.13*0.7</f>
        <v>1.4965423199999996</v>
      </c>
      <c r="T148" s="101">
        <f>(N148*0.18+(O148*12*21/1000))*0.13*0.3</f>
        <v>0.6413752799999999</v>
      </c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</row>
    <row r="149" spans="1:34" s="39" customFormat="1" ht="38.25" customHeight="1">
      <c r="A149" s="957"/>
      <c r="B149" s="951"/>
      <c r="C149" s="893"/>
      <c r="D149" s="9">
        <v>2012</v>
      </c>
      <c r="E149" s="56">
        <f aca="true" t="shared" si="64" ref="E149:E175">SUM(F149:K149)</f>
        <v>68</v>
      </c>
      <c r="F149" s="56">
        <f>92.6-5.1-21.5</f>
        <v>66</v>
      </c>
      <c r="G149" s="56"/>
      <c r="H149" s="56">
        <v>2</v>
      </c>
      <c r="I149" s="56"/>
      <c r="J149" s="56"/>
      <c r="K149" s="56"/>
      <c r="L149" s="892"/>
      <c r="M149" s="892"/>
      <c r="N149" s="98">
        <f>E149*0.7*0.15</f>
        <v>7.139999999999999</v>
      </c>
      <c r="O149" s="88"/>
      <c r="P149" s="88">
        <f>E149/2</f>
        <v>34</v>
      </c>
      <c r="Q149" s="58">
        <f>SUM(R149:T149)</f>
        <v>6.429876</v>
      </c>
      <c r="R149" s="34">
        <f>E149*0.5*0.18+N149*0.02</f>
        <v>6.2628</v>
      </c>
      <c r="S149" s="101">
        <f>(N149*0.18+(O149*12*21/1000))*0.13*0.7</f>
        <v>0.11695319999999998</v>
      </c>
      <c r="T149" s="101">
        <f>(N149*0.18+(O149*12*21/1000))*0.13*0.3</f>
        <v>0.05012279999999999</v>
      </c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</row>
    <row r="150" spans="1:34" s="39" customFormat="1" ht="38.25" customHeight="1">
      <c r="A150" s="957"/>
      <c r="B150" s="951"/>
      <c r="C150" s="893"/>
      <c r="D150" s="9">
        <v>2013</v>
      </c>
      <c r="E150" s="56">
        <f t="shared" si="64"/>
        <v>78.19999999999999</v>
      </c>
      <c r="F150" s="56">
        <f>91.6--5.1-21.5</f>
        <v>75.19999999999999</v>
      </c>
      <c r="G150" s="56"/>
      <c r="H150" s="56">
        <v>3</v>
      </c>
      <c r="I150" s="56"/>
      <c r="J150" s="56"/>
      <c r="K150" s="56"/>
      <c r="L150" s="892"/>
      <c r="M150" s="892"/>
      <c r="N150" s="98">
        <f>E150*0.7*0.15</f>
        <v>8.210999999999999</v>
      </c>
      <c r="O150" s="88">
        <v>0</v>
      </c>
      <c r="P150" s="88">
        <f>E150/2</f>
        <v>39.099999999999994</v>
      </c>
      <c r="Q150" s="58">
        <f>SUM(R150:T150)</f>
        <v>7.394357399999999</v>
      </c>
      <c r="R150" s="34">
        <f>E150*0.5*0.18+N150*0.02</f>
        <v>7.202219999999999</v>
      </c>
      <c r="S150" s="101">
        <f>(N150*0.18+(O150*12*21/1000))*0.13*0.7</f>
        <v>0.13449617999999997</v>
      </c>
      <c r="T150" s="101">
        <f>(N150*0.18+(O150*12*21/1000))*0.13*0.3</f>
        <v>0.057641219999999986</v>
      </c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</row>
    <row r="151" spans="1:34" s="39" customFormat="1" ht="38.25" customHeight="1">
      <c r="A151" s="957"/>
      <c r="B151" s="951"/>
      <c r="C151" s="893"/>
      <c r="D151" s="31">
        <v>2014</v>
      </c>
      <c r="E151" s="56">
        <f t="shared" si="64"/>
        <v>62.89999999999999</v>
      </c>
      <c r="F151" s="56">
        <f>91.6-21.5-10.2</f>
        <v>59.89999999999999</v>
      </c>
      <c r="G151" s="56"/>
      <c r="H151" s="56">
        <v>3</v>
      </c>
      <c r="I151" s="56"/>
      <c r="J151" s="56"/>
      <c r="K151" s="56"/>
      <c r="L151" s="892"/>
      <c r="M151" s="892"/>
      <c r="N151" s="98">
        <f>E151*0.7*0.15</f>
        <v>6.604499999999999</v>
      </c>
      <c r="O151" s="88">
        <v>0</v>
      </c>
      <c r="P151" s="88">
        <f>E151/2</f>
        <v>31.449999999999996</v>
      </c>
      <c r="Q151" s="58">
        <f>SUM(R151:T151)</f>
        <v>5.947635299999999</v>
      </c>
      <c r="R151" s="34">
        <f>E151*0.5*0.18+N151*0.02</f>
        <v>5.7930899999999985</v>
      </c>
      <c r="S151" s="101">
        <f>(N151*0.18+(O151*12*21/1000))*0.13*0.7</f>
        <v>0.10818170999999997</v>
      </c>
      <c r="T151" s="101">
        <f>(N151*0.18+(O151*12*21/1000))*0.13*0.3</f>
        <v>0.04636358999999999</v>
      </c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</row>
    <row r="152" spans="1:20" ht="15" customHeight="1">
      <c r="A152" s="866">
        <v>11</v>
      </c>
      <c r="B152" s="951" t="s">
        <v>490</v>
      </c>
      <c r="C152" s="774" t="s">
        <v>162</v>
      </c>
      <c r="D152" s="129" t="s">
        <v>570</v>
      </c>
      <c r="E152" s="57">
        <f aca="true" t="shared" si="65" ref="E152:K152">SUM(E153:E157)</f>
        <v>154.92999999999998</v>
      </c>
      <c r="F152" s="57">
        <f t="shared" si="65"/>
        <v>92.95</v>
      </c>
      <c r="G152" s="57">
        <f t="shared" si="65"/>
        <v>0</v>
      </c>
      <c r="H152" s="57">
        <f t="shared" si="65"/>
        <v>46.5</v>
      </c>
      <c r="I152" s="57">
        <f t="shared" si="65"/>
        <v>15.48</v>
      </c>
      <c r="J152" s="57">
        <f t="shared" si="65"/>
        <v>0</v>
      </c>
      <c r="K152" s="57">
        <f t="shared" si="65"/>
        <v>0</v>
      </c>
      <c r="L152" s="892" t="s">
        <v>540</v>
      </c>
      <c r="M152" s="892" t="s">
        <v>787</v>
      </c>
      <c r="N152" s="379">
        <f aca="true" t="shared" si="66" ref="N152:T152">SUM(N153:N157)</f>
        <v>16.267649999999996</v>
      </c>
      <c r="O152" s="380">
        <f>SUM(O153:O157)</f>
        <v>21.235</v>
      </c>
      <c r="P152" s="380">
        <f>SUM(P153:P157)</f>
        <v>77.46499999999999</v>
      </c>
      <c r="Q152" s="379">
        <f t="shared" si="66"/>
        <v>15.345374609999999</v>
      </c>
      <c r="R152" s="379">
        <f t="shared" si="66"/>
        <v>14.269053</v>
      </c>
      <c r="S152" s="379">
        <f t="shared" si="66"/>
        <v>0.7534251269999998</v>
      </c>
      <c r="T152" s="379">
        <f t="shared" si="66"/>
        <v>0.32289648299999996</v>
      </c>
    </row>
    <row r="153" spans="1:20" ht="15.75" customHeight="1">
      <c r="A153" s="866"/>
      <c r="B153" s="951"/>
      <c r="C153" s="774"/>
      <c r="D153" s="31">
        <v>2010</v>
      </c>
      <c r="E153" s="56">
        <f t="shared" si="64"/>
        <v>1.2</v>
      </c>
      <c r="F153" s="56"/>
      <c r="G153" s="56"/>
      <c r="H153" s="56"/>
      <c r="I153" s="56">
        <v>1.2</v>
      </c>
      <c r="J153" s="56"/>
      <c r="K153" s="56"/>
      <c r="L153" s="892"/>
      <c r="M153" s="892"/>
      <c r="N153" s="99">
        <f>E153*0.7*0.15</f>
        <v>0.126</v>
      </c>
      <c r="O153" s="100">
        <f>E153/2</f>
        <v>0.6</v>
      </c>
      <c r="P153" s="100">
        <f>E153/2</f>
        <v>0.6</v>
      </c>
      <c r="Q153" s="58">
        <f>SUM(R153:T153)</f>
        <v>0.1331244</v>
      </c>
      <c r="R153" s="34">
        <f>E153*0.5*0.18+N153*0.02</f>
        <v>0.11052</v>
      </c>
      <c r="S153" s="34">
        <f>(N153*0.18+(O153*12*21/1000))*0.13*0.7</f>
        <v>0.01582308</v>
      </c>
      <c r="T153" s="34">
        <f>(N153*0.18+(O153*12*21/1000))*0.13*0.3</f>
        <v>0.0067813199999999995</v>
      </c>
    </row>
    <row r="154" spans="1:20" ht="24" customHeight="1">
      <c r="A154" s="866"/>
      <c r="B154" s="951"/>
      <c r="C154" s="774"/>
      <c r="D154" s="31">
        <v>2011</v>
      </c>
      <c r="E154" s="56">
        <f t="shared" si="64"/>
        <v>33.269999999999996</v>
      </c>
      <c r="F154" s="56">
        <v>23.2</v>
      </c>
      <c r="G154" s="56"/>
      <c r="H154" s="56">
        <v>6.5</v>
      </c>
      <c r="I154" s="56">
        <v>3.57</v>
      </c>
      <c r="J154" s="56"/>
      <c r="K154" s="56"/>
      <c r="L154" s="892"/>
      <c r="M154" s="892"/>
      <c r="N154" s="99">
        <f>E154*0.7*0.15</f>
        <v>3.493349999999999</v>
      </c>
      <c r="O154" s="100">
        <f>E154/2</f>
        <v>16.634999999999998</v>
      </c>
      <c r="P154" s="100">
        <f>E154/2</f>
        <v>16.634999999999998</v>
      </c>
      <c r="Q154" s="58">
        <f>SUM(R154:T154)</f>
        <v>3.6908739899999996</v>
      </c>
      <c r="R154" s="34">
        <f>E154*0.5*0.18+N154*0.02</f>
        <v>3.0641669999999994</v>
      </c>
      <c r="S154" s="34">
        <f>(N154*0.18+(O154*12*21/1000))*0.13*0.7</f>
        <v>0.43869489299999986</v>
      </c>
      <c r="T154" s="34">
        <f>(N154*0.18+(O154*12*21/1000))*0.13*0.3</f>
        <v>0.18801209699999996</v>
      </c>
    </row>
    <row r="155" spans="1:20" ht="15.75" customHeight="1">
      <c r="A155" s="866"/>
      <c r="B155" s="951"/>
      <c r="C155" s="774"/>
      <c r="D155" s="31">
        <v>2012</v>
      </c>
      <c r="E155" s="56">
        <f t="shared" si="64"/>
        <v>36.82</v>
      </c>
      <c r="F155" s="56">
        <v>23.25</v>
      </c>
      <c r="G155" s="56"/>
      <c r="H155" s="56">
        <v>10</v>
      </c>
      <c r="I155" s="56">
        <v>3.57</v>
      </c>
      <c r="J155" s="56"/>
      <c r="K155" s="56"/>
      <c r="L155" s="892"/>
      <c r="M155" s="892"/>
      <c r="N155" s="99">
        <f>E155*0.7*0.15</f>
        <v>3.8660999999999994</v>
      </c>
      <c r="O155" s="100">
        <v>1</v>
      </c>
      <c r="P155" s="100">
        <f>E155/2</f>
        <v>18.41</v>
      </c>
      <c r="Q155" s="58">
        <f>SUM(R155:T155)</f>
        <v>3.51434874</v>
      </c>
      <c r="R155" s="34">
        <f>E155*0.5*0.18+N155*0.02</f>
        <v>3.391122</v>
      </c>
      <c r="S155" s="34">
        <f>(N155*0.18+(O155*12*21/1000))*0.13*0.7</f>
        <v>0.08625871799999998</v>
      </c>
      <c r="T155" s="34">
        <f>(N155*0.18+(O155*12*21/1000))*0.13*0.3</f>
        <v>0.036968021999999996</v>
      </c>
    </row>
    <row r="156" spans="1:20" ht="15" customHeight="1">
      <c r="A156" s="866"/>
      <c r="B156" s="951"/>
      <c r="C156" s="774"/>
      <c r="D156" s="31">
        <v>2013</v>
      </c>
      <c r="E156" s="56">
        <f t="shared" si="64"/>
        <v>41.82</v>
      </c>
      <c r="F156" s="56">
        <v>23.25</v>
      </c>
      <c r="G156" s="56"/>
      <c r="H156" s="56">
        <v>15</v>
      </c>
      <c r="I156" s="56">
        <v>3.57</v>
      </c>
      <c r="J156" s="56"/>
      <c r="K156" s="56"/>
      <c r="L156" s="892"/>
      <c r="M156" s="892"/>
      <c r="N156" s="99">
        <f>E156*0.7*0.15</f>
        <v>4.3911</v>
      </c>
      <c r="O156" s="100">
        <v>3</v>
      </c>
      <c r="P156" s="100">
        <f>E156/2</f>
        <v>20.91</v>
      </c>
      <c r="Q156" s="58">
        <f>SUM(R156:T156)</f>
        <v>4.05265374</v>
      </c>
      <c r="R156" s="34">
        <f>E156*0.5*0.18+N156*0.02</f>
        <v>3.851622</v>
      </c>
      <c r="S156" s="34">
        <f>(N156*0.18+(O156*12*21/1000))*0.13*0.7</f>
        <v>0.14072221799999998</v>
      </c>
      <c r="T156" s="34">
        <f>(N156*0.18+(O156*12*21/1000))*0.13*0.3</f>
        <v>0.06030952199999999</v>
      </c>
    </row>
    <row r="157" spans="1:20" ht="15" customHeight="1">
      <c r="A157" s="866"/>
      <c r="B157" s="951"/>
      <c r="C157" s="774"/>
      <c r="D157" s="31">
        <v>2014</v>
      </c>
      <c r="E157" s="56">
        <f t="shared" si="64"/>
        <v>41.82</v>
      </c>
      <c r="F157" s="56">
        <v>23.25</v>
      </c>
      <c r="G157" s="56"/>
      <c r="H157" s="56">
        <v>15</v>
      </c>
      <c r="I157" s="56">
        <v>3.57</v>
      </c>
      <c r="J157" s="56"/>
      <c r="K157" s="56"/>
      <c r="L157" s="892"/>
      <c r="M157" s="892"/>
      <c r="N157" s="99">
        <f>E157*0.7*0.15</f>
        <v>4.3911</v>
      </c>
      <c r="O157" s="100">
        <v>0</v>
      </c>
      <c r="P157" s="100">
        <f>E157/2</f>
        <v>20.91</v>
      </c>
      <c r="Q157" s="58">
        <f>SUM(R157:T157)</f>
        <v>3.95437374</v>
      </c>
      <c r="R157" s="34">
        <f>E157*0.5*0.18+N157*0.02</f>
        <v>3.851622</v>
      </c>
      <c r="S157" s="34">
        <f>(N157*0.18+(O157*12*21/1000))*0.13*0.7</f>
        <v>0.07192621799999999</v>
      </c>
      <c r="T157" s="34">
        <f>(N157*0.18+(O157*12*21/1000))*0.13*0.3</f>
        <v>0.030825521999999998</v>
      </c>
    </row>
    <row r="158" spans="1:20" ht="15.75" customHeight="1">
      <c r="A158" s="866">
        <f>A152+1</f>
        <v>12</v>
      </c>
      <c r="B158" s="951" t="s">
        <v>491</v>
      </c>
      <c r="C158" s="956"/>
      <c r="D158" s="129" t="s">
        <v>570</v>
      </c>
      <c r="E158" s="57">
        <f aca="true" t="shared" si="67" ref="E158:K158">SUM(E159:E163)</f>
        <v>37.08</v>
      </c>
      <c r="F158" s="57">
        <f t="shared" si="67"/>
        <v>30</v>
      </c>
      <c r="G158" s="57">
        <f t="shared" si="67"/>
        <v>0</v>
      </c>
      <c r="H158" s="57">
        <f t="shared" si="67"/>
        <v>3.54</v>
      </c>
      <c r="I158" s="57">
        <f t="shared" si="67"/>
        <v>3.54</v>
      </c>
      <c r="J158" s="57">
        <f t="shared" si="67"/>
        <v>0</v>
      </c>
      <c r="K158" s="57">
        <f t="shared" si="67"/>
        <v>0</v>
      </c>
      <c r="L158" s="892" t="s">
        <v>463</v>
      </c>
      <c r="M158" s="892" t="s">
        <v>788</v>
      </c>
      <c r="N158" s="379">
        <f aca="true" t="shared" si="68" ref="N158:T158">SUM(N159:N163)</f>
        <v>3.8933999999999997</v>
      </c>
      <c r="O158" s="380">
        <f>SUM(O159:O163)</f>
        <v>6.09</v>
      </c>
      <c r="P158" s="380">
        <f>SUM(P159:P163)</f>
        <v>18.54</v>
      </c>
      <c r="Q158" s="379">
        <f t="shared" si="68"/>
        <v>3.7056819599999997</v>
      </c>
      <c r="R158" s="379">
        <f t="shared" si="68"/>
        <v>3.4150679999999998</v>
      </c>
      <c r="S158" s="379">
        <f t="shared" si="68"/>
        <v>0.20342977199999995</v>
      </c>
      <c r="T158" s="379">
        <f t="shared" si="68"/>
        <v>0.08718418799999997</v>
      </c>
    </row>
    <row r="159" spans="1:20" ht="14.25" customHeight="1">
      <c r="A159" s="866"/>
      <c r="B159" s="951"/>
      <c r="C159" s="956"/>
      <c r="D159" s="31">
        <v>2010</v>
      </c>
      <c r="E159" s="56">
        <f t="shared" si="64"/>
        <v>1.3399999999999999</v>
      </c>
      <c r="F159" s="56"/>
      <c r="G159" s="56"/>
      <c r="H159" s="56">
        <v>0.6</v>
      </c>
      <c r="I159" s="56">
        <v>0.74</v>
      </c>
      <c r="J159" s="56"/>
      <c r="K159" s="56"/>
      <c r="L159" s="892"/>
      <c r="M159" s="892"/>
      <c r="N159" s="99">
        <f>E159*0.7*0.15</f>
        <v>0.14069999999999996</v>
      </c>
      <c r="O159" s="100">
        <f>E159/2</f>
        <v>0.6699999999999999</v>
      </c>
      <c r="P159" s="100">
        <f>E159/2</f>
        <v>0.6699999999999999</v>
      </c>
      <c r="Q159" s="58">
        <f>SUM(R159:T159)</f>
        <v>0.14865557999999998</v>
      </c>
      <c r="R159" s="34">
        <f>E159*0.5*0.18+N159*0.02</f>
        <v>0.12341399999999998</v>
      </c>
      <c r="S159" s="34">
        <f>(N159*0.18+(O159*12*21/1000))*0.13*0.7</f>
        <v>0.017669105999999993</v>
      </c>
      <c r="T159" s="34">
        <f>(N159*0.18+(O159*12*21/1000))*0.13*0.3</f>
        <v>0.0075724739999999974</v>
      </c>
    </row>
    <row r="160" spans="1:20" ht="39" customHeight="1">
      <c r="A160" s="866"/>
      <c r="B160" s="951"/>
      <c r="C160" s="956"/>
      <c r="D160" s="31">
        <v>2011</v>
      </c>
      <c r="E160" s="56">
        <f t="shared" si="64"/>
        <v>8.84</v>
      </c>
      <c r="F160" s="56">
        <v>7.5</v>
      </c>
      <c r="G160" s="56"/>
      <c r="H160" s="56">
        <v>0.74</v>
      </c>
      <c r="I160" s="56">
        <v>0.6</v>
      </c>
      <c r="J160" s="56"/>
      <c r="K160" s="56"/>
      <c r="L160" s="892"/>
      <c r="M160" s="892"/>
      <c r="N160" s="99">
        <f>E160*0.7*0.15</f>
        <v>0.9281999999999999</v>
      </c>
      <c r="O160" s="100">
        <f>E160/2</f>
        <v>4.42</v>
      </c>
      <c r="P160" s="100">
        <f>E160/2</f>
        <v>4.42</v>
      </c>
      <c r="Q160" s="58">
        <f>SUM(R160:T160)</f>
        <v>0.98068308</v>
      </c>
      <c r="R160" s="34">
        <f>E160*0.5*0.18+N160*0.02</f>
        <v>0.814164</v>
      </c>
      <c r="S160" s="34">
        <f>(N160*0.18+(O160*12*21/1000))*0.13*0.7</f>
        <v>0.11656335599999998</v>
      </c>
      <c r="T160" s="34">
        <f>(N160*0.18+(O160*12*21/1000))*0.13*0.3</f>
        <v>0.04995572399999999</v>
      </c>
    </row>
    <row r="161" spans="1:20" ht="45" customHeight="1">
      <c r="A161" s="866"/>
      <c r="B161" s="951"/>
      <c r="C161" s="956"/>
      <c r="D161" s="31">
        <v>2012</v>
      </c>
      <c r="E161" s="56">
        <f t="shared" si="64"/>
        <v>9.100000000000001</v>
      </c>
      <c r="F161" s="56">
        <v>7.5</v>
      </c>
      <c r="G161" s="56"/>
      <c r="H161" s="56">
        <v>0.8</v>
      </c>
      <c r="I161" s="56">
        <v>0.8</v>
      </c>
      <c r="J161" s="56"/>
      <c r="K161" s="56"/>
      <c r="L161" s="892"/>
      <c r="M161" s="892"/>
      <c r="N161" s="99">
        <f>E161*0.7*0.15</f>
        <v>0.9555000000000001</v>
      </c>
      <c r="O161" s="100">
        <v>1</v>
      </c>
      <c r="P161" s="100">
        <f>E161/2</f>
        <v>4.550000000000001</v>
      </c>
      <c r="Q161" s="58">
        <f>SUM(R161:T161)</f>
        <v>0.8932287000000001</v>
      </c>
      <c r="R161" s="34">
        <f>E161*0.5*0.18+N161*0.02</f>
        <v>0.83811</v>
      </c>
      <c r="S161" s="34">
        <f>(N161*0.18+(O161*12*21/1000))*0.13*0.7</f>
        <v>0.03858309</v>
      </c>
      <c r="T161" s="34">
        <f>(N161*0.18+(O161*12*21/1000))*0.13*0.3</f>
        <v>0.01653561</v>
      </c>
    </row>
    <row r="162" spans="1:20" ht="38.25" customHeight="1">
      <c r="A162" s="866"/>
      <c r="B162" s="951"/>
      <c r="C162" s="956"/>
      <c r="D162" s="31">
        <v>2013</v>
      </c>
      <c r="E162" s="56">
        <f t="shared" si="64"/>
        <v>8.899999999999999</v>
      </c>
      <c r="F162" s="56">
        <v>7.5</v>
      </c>
      <c r="G162" s="56"/>
      <c r="H162" s="56">
        <v>0.7</v>
      </c>
      <c r="I162" s="56">
        <v>0.7</v>
      </c>
      <c r="J162" s="56"/>
      <c r="K162" s="56"/>
      <c r="L162" s="892"/>
      <c r="M162" s="892"/>
      <c r="N162" s="99">
        <f>E162*0.7*0.15</f>
        <v>0.9344999999999998</v>
      </c>
      <c r="O162" s="100">
        <v>0</v>
      </c>
      <c r="P162" s="100">
        <f>E162/2</f>
        <v>4.449999999999999</v>
      </c>
      <c r="Q162" s="58">
        <f>SUM(R162:T162)</f>
        <v>0.8415572999999997</v>
      </c>
      <c r="R162" s="34">
        <f>E162*0.5*0.18+N162*0.02</f>
        <v>0.8196899999999998</v>
      </c>
      <c r="S162" s="34">
        <f>(N162*0.18+(O162*12*21/1000))*0.13*0.7</f>
        <v>0.015307109999999994</v>
      </c>
      <c r="T162" s="34">
        <f>(N162*0.18+(O162*12*21/1000))*0.13*0.3</f>
        <v>0.006560189999999998</v>
      </c>
    </row>
    <row r="163" spans="1:20" ht="32.25" customHeight="1">
      <c r="A163" s="866"/>
      <c r="B163" s="951"/>
      <c r="C163" s="956"/>
      <c r="D163" s="31">
        <v>2014</v>
      </c>
      <c r="E163" s="56">
        <f t="shared" si="64"/>
        <v>8.899999999999999</v>
      </c>
      <c r="F163" s="56">
        <v>7.5</v>
      </c>
      <c r="G163" s="56"/>
      <c r="H163" s="56">
        <v>0.7</v>
      </c>
      <c r="I163" s="56">
        <v>0.7</v>
      </c>
      <c r="J163" s="56"/>
      <c r="K163" s="56"/>
      <c r="L163" s="892"/>
      <c r="M163" s="892"/>
      <c r="N163" s="99">
        <f>E163*0.7*0.15</f>
        <v>0.9344999999999998</v>
      </c>
      <c r="O163" s="100">
        <v>0</v>
      </c>
      <c r="P163" s="100">
        <f>E163/2</f>
        <v>4.449999999999999</v>
      </c>
      <c r="Q163" s="58">
        <f>SUM(R163:T163)</f>
        <v>0.8415572999999997</v>
      </c>
      <c r="R163" s="34">
        <f>E163*0.5*0.18+N163*0.02</f>
        <v>0.8196899999999998</v>
      </c>
      <c r="S163" s="34">
        <f>(N163*0.18+(O163*12*21/1000))*0.13*0.7</f>
        <v>0.015307109999999994</v>
      </c>
      <c r="T163" s="34">
        <f>(N163*0.18+(O163*12*21/1000))*0.13*0.3</f>
        <v>0.006560189999999998</v>
      </c>
    </row>
    <row r="164" spans="1:20" ht="43.5" customHeight="1">
      <c r="A164" s="866">
        <f>A158+1</f>
        <v>13</v>
      </c>
      <c r="B164" s="951" t="s">
        <v>530</v>
      </c>
      <c r="C164" s="956"/>
      <c r="D164" s="129" t="s">
        <v>570</v>
      </c>
      <c r="E164" s="57">
        <f aca="true" t="shared" si="69" ref="E164:K164">SUM(E165:E169)</f>
        <v>10.68</v>
      </c>
      <c r="F164" s="57">
        <f t="shared" si="69"/>
        <v>6.36</v>
      </c>
      <c r="G164" s="57">
        <f t="shared" si="69"/>
        <v>0</v>
      </c>
      <c r="H164" s="57">
        <f t="shared" si="69"/>
        <v>3.2</v>
      </c>
      <c r="I164" s="57">
        <f t="shared" si="69"/>
        <v>1.1199999999999999</v>
      </c>
      <c r="J164" s="57">
        <f t="shared" si="69"/>
        <v>0</v>
      </c>
      <c r="K164" s="57">
        <f t="shared" si="69"/>
        <v>0</v>
      </c>
      <c r="L164" s="892" t="s">
        <v>463</v>
      </c>
      <c r="M164" s="892" t="s">
        <v>788</v>
      </c>
      <c r="N164" s="379">
        <f aca="true" t="shared" si="70" ref="N164:T164">SUM(N165:N169)</f>
        <v>1.1214</v>
      </c>
      <c r="O164" s="380">
        <f>SUM(O165:O169)</f>
        <v>5.34</v>
      </c>
      <c r="P164" s="380">
        <f>SUM(P165:P169)</f>
        <v>5.34</v>
      </c>
      <c r="Q164" s="379">
        <f t="shared" si="70"/>
        <v>1.18480716</v>
      </c>
      <c r="R164" s="379">
        <f t="shared" si="70"/>
        <v>0.983628</v>
      </c>
      <c r="S164" s="379">
        <f t="shared" si="70"/>
        <v>0.14082541199999998</v>
      </c>
      <c r="T164" s="379">
        <f t="shared" si="70"/>
        <v>0.060353748</v>
      </c>
    </row>
    <row r="165" spans="1:20" ht="20.25" customHeight="1">
      <c r="A165" s="866"/>
      <c r="B165" s="951"/>
      <c r="C165" s="956"/>
      <c r="D165" s="31">
        <v>2010</v>
      </c>
      <c r="E165" s="56">
        <f t="shared" si="64"/>
        <v>0.3</v>
      </c>
      <c r="F165" s="56"/>
      <c r="G165" s="56"/>
      <c r="H165" s="56">
        <v>0.3</v>
      </c>
      <c r="I165" s="56"/>
      <c r="J165" s="56"/>
      <c r="K165" s="56"/>
      <c r="L165" s="892"/>
      <c r="M165" s="892"/>
      <c r="N165" s="99">
        <f>E165*0.7*0.15</f>
        <v>0.0315</v>
      </c>
      <c r="O165" s="100">
        <f>E165/2</f>
        <v>0.15</v>
      </c>
      <c r="P165" s="100">
        <f>E165/2</f>
        <v>0.15</v>
      </c>
      <c r="Q165" s="58">
        <f>SUM(R165:T165)</f>
        <v>0.0332811</v>
      </c>
      <c r="R165" s="34">
        <f>E165*0.5*0.18+N165*0.02</f>
        <v>0.02763</v>
      </c>
      <c r="S165" s="34">
        <f>(N165*0.18+(O165*12*21/1000))*0.13*0.7</f>
        <v>0.00395577</v>
      </c>
      <c r="T165" s="34">
        <f>(N165*0.18+(O165*12*21/1000))*0.13*0.3</f>
        <v>0.0016953299999999999</v>
      </c>
    </row>
    <row r="166" spans="1:20" ht="15" customHeight="1">
      <c r="A166" s="866"/>
      <c r="B166" s="951"/>
      <c r="C166" s="956"/>
      <c r="D166" s="31">
        <v>2011</v>
      </c>
      <c r="E166" s="56">
        <f t="shared" si="64"/>
        <v>2.915</v>
      </c>
      <c r="F166" s="56">
        <v>1.59</v>
      </c>
      <c r="G166" s="56"/>
      <c r="H166" s="56">
        <v>0.725</v>
      </c>
      <c r="I166" s="56">
        <v>0.6</v>
      </c>
      <c r="J166" s="56"/>
      <c r="K166" s="56"/>
      <c r="L166" s="892"/>
      <c r="M166" s="892"/>
      <c r="N166" s="99">
        <f>E166*0.7*0.15</f>
        <v>0.30607499999999993</v>
      </c>
      <c r="O166" s="100">
        <f>E166/2</f>
        <v>1.4575</v>
      </c>
      <c r="P166" s="100">
        <f>E166/2</f>
        <v>1.4575</v>
      </c>
      <c r="Q166" s="58">
        <f>SUM(R166:T166)</f>
        <v>0.323381355</v>
      </c>
      <c r="R166" s="34">
        <f>E166*0.5*0.18+N166*0.02</f>
        <v>0.2684715</v>
      </c>
      <c r="S166" s="34">
        <f>(N166*0.18+(O166*12*21/1000))*0.13*0.7</f>
        <v>0.0384368985</v>
      </c>
      <c r="T166" s="34">
        <f>(N166*0.18+(O166*12*21/1000))*0.13*0.3</f>
        <v>0.0164729565</v>
      </c>
    </row>
    <row r="167" spans="1:20" ht="16.5" customHeight="1">
      <c r="A167" s="866"/>
      <c r="B167" s="951"/>
      <c r="C167" s="956"/>
      <c r="D167" s="31">
        <v>2012</v>
      </c>
      <c r="E167" s="56">
        <f t="shared" si="64"/>
        <v>2.635</v>
      </c>
      <c r="F167" s="56">
        <v>1.59</v>
      </c>
      <c r="G167" s="56"/>
      <c r="H167" s="56">
        <v>0.725</v>
      </c>
      <c r="I167" s="56">
        <v>0.32</v>
      </c>
      <c r="J167" s="56"/>
      <c r="K167" s="56"/>
      <c r="L167" s="892"/>
      <c r="M167" s="892"/>
      <c r="N167" s="99">
        <f>E167*0.7*0.15</f>
        <v>0.27667499999999995</v>
      </c>
      <c r="O167" s="100">
        <f>E167/2</f>
        <v>1.3175</v>
      </c>
      <c r="P167" s="100">
        <f>E167/2</f>
        <v>1.3175</v>
      </c>
      <c r="Q167" s="58">
        <f>SUM(R167:T167)</f>
        <v>0.29231899499999997</v>
      </c>
      <c r="R167" s="34">
        <f>E167*0.5*0.18+N167*0.02</f>
        <v>0.24268349999999997</v>
      </c>
      <c r="S167" s="34">
        <f>(N167*0.18+(O167*12*21/1000))*0.13*0.7</f>
        <v>0.034744846499999996</v>
      </c>
      <c r="T167" s="34">
        <f>(N167*0.18+(O167*12*21/1000))*0.13*0.3</f>
        <v>0.014890648499999997</v>
      </c>
    </row>
    <row r="168" spans="1:20" ht="16.5" customHeight="1">
      <c r="A168" s="866"/>
      <c r="B168" s="951"/>
      <c r="C168" s="956"/>
      <c r="D168" s="31">
        <v>2013</v>
      </c>
      <c r="E168" s="56">
        <f t="shared" si="64"/>
        <v>2.515</v>
      </c>
      <c r="F168" s="56">
        <v>1.59</v>
      </c>
      <c r="G168" s="56"/>
      <c r="H168" s="56">
        <v>0.725</v>
      </c>
      <c r="I168" s="56">
        <v>0.2</v>
      </c>
      <c r="J168" s="56"/>
      <c r="K168" s="56"/>
      <c r="L168" s="892"/>
      <c r="M168" s="892"/>
      <c r="N168" s="99">
        <f>E168*0.7*0.15</f>
        <v>0.264075</v>
      </c>
      <c r="O168" s="100">
        <f>E168/2</f>
        <v>1.2575</v>
      </c>
      <c r="P168" s="100">
        <f>E168/2</f>
        <v>1.2575</v>
      </c>
      <c r="Q168" s="58">
        <f>SUM(R168:T168)</f>
        <v>0.279006555</v>
      </c>
      <c r="R168" s="34">
        <f>E168*0.5*0.18+N168*0.02</f>
        <v>0.2316315</v>
      </c>
      <c r="S168" s="34">
        <f>(N168*0.18+(O168*12*21/1000))*0.13*0.7</f>
        <v>0.033162538500000005</v>
      </c>
      <c r="T168" s="34">
        <f>(N168*0.18+(O168*12*21/1000))*0.13*0.3</f>
        <v>0.014212516500000001</v>
      </c>
    </row>
    <row r="169" spans="1:20" ht="16.5" customHeight="1">
      <c r="A169" s="866"/>
      <c r="B169" s="951"/>
      <c r="C169" s="956"/>
      <c r="D169" s="31">
        <v>2014</v>
      </c>
      <c r="E169" s="56">
        <f t="shared" si="64"/>
        <v>2.315</v>
      </c>
      <c r="F169" s="56">
        <v>1.59</v>
      </c>
      <c r="G169" s="56"/>
      <c r="H169" s="56">
        <v>0.725</v>
      </c>
      <c r="I169" s="56"/>
      <c r="J169" s="56"/>
      <c r="K169" s="56"/>
      <c r="L169" s="892"/>
      <c r="M169" s="892"/>
      <c r="N169" s="99">
        <f>E169*0.7*0.15</f>
        <v>0.24307499999999996</v>
      </c>
      <c r="O169" s="100">
        <f>E169/2</f>
        <v>1.1575</v>
      </c>
      <c r="P169" s="100">
        <f>E169/2</f>
        <v>1.1575</v>
      </c>
      <c r="Q169" s="58">
        <f>SUM(R169:T169)</f>
        <v>0.25681915499999997</v>
      </c>
      <c r="R169" s="34">
        <f>E169*0.5*0.18+N169*0.02</f>
        <v>0.21321149999999997</v>
      </c>
      <c r="S169" s="34">
        <f>(N169*0.18+(O169*12*21/1000))*0.13*0.7</f>
        <v>0.0305253585</v>
      </c>
      <c r="T169" s="34">
        <f>(N169*0.18+(O169*12*21/1000))*0.13*0.3</f>
        <v>0.0130822965</v>
      </c>
    </row>
    <row r="170" spans="1:20" ht="15" customHeight="1">
      <c r="A170" s="866">
        <f>A164+1</f>
        <v>14</v>
      </c>
      <c r="B170" s="951" t="s">
        <v>529</v>
      </c>
      <c r="C170" s="956"/>
      <c r="D170" s="129" t="s">
        <v>570</v>
      </c>
      <c r="E170" s="57">
        <f aca="true" t="shared" si="71" ref="E170:K170">SUM(E171:E175)</f>
        <v>40.705</v>
      </c>
      <c r="F170" s="57">
        <f t="shared" si="71"/>
        <v>24.5</v>
      </c>
      <c r="G170" s="57">
        <f t="shared" si="71"/>
        <v>0</v>
      </c>
      <c r="H170" s="57">
        <f t="shared" si="71"/>
        <v>12.125</v>
      </c>
      <c r="I170" s="57">
        <f t="shared" si="71"/>
        <v>4.079999999999999</v>
      </c>
      <c r="J170" s="57">
        <f t="shared" si="71"/>
        <v>0</v>
      </c>
      <c r="K170" s="57">
        <f t="shared" si="71"/>
        <v>0</v>
      </c>
      <c r="L170" s="892" t="s">
        <v>463</v>
      </c>
      <c r="M170" s="892" t="s">
        <v>544</v>
      </c>
      <c r="N170" s="379">
        <f aca="true" t="shared" si="72" ref="N170:T170">SUM(N171:N175)</f>
        <v>4.274025</v>
      </c>
      <c r="O170" s="380">
        <f>SUM(O171:O175)</f>
        <v>5.4725</v>
      </c>
      <c r="P170" s="380">
        <f>SUM(P171:P175)</f>
        <v>20.3525</v>
      </c>
      <c r="Q170" s="379">
        <f t="shared" si="72"/>
        <v>4.028221785</v>
      </c>
      <c r="R170" s="379">
        <f t="shared" si="72"/>
        <v>3.7489305</v>
      </c>
      <c r="S170" s="379">
        <f t="shared" si="72"/>
        <v>0.1955038995</v>
      </c>
      <c r="T170" s="379">
        <f t="shared" si="72"/>
        <v>0.0837873855</v>
      </c>
    </row>
    <row r="171" spans="1:20" ht="15.75" customHeight="1">
      <c r="A171" s="866"/>
      <c r="B171" s="951"/>
      <c r="C171" s="956"/>
      <c r="D171" s="31">
        <v>2010</v>
      </c>
      <c r="E171" s="56">
        <f>SUM(F171:K171)</f>
        <v>1</v>
      </c>
      <c r="F171" s="56"/>
      <c r="G171" s="56"/>
      <c r="H171" s="56">
        <v>0.3</v>
      </c>
      <c r="I171" s="56">
        <v>0.7</v>
      </c>
      <c r="J171" s="56"/>
      <c r="K171" s="56"/>
      <c r="L171" s="892"/>
      <c r="M171" s="892"/>
      <c r="N171" s="99">
        <f>E171*0.7*0.15</f>
        <v>0.105</v>
      </c>
      <c r="O171" s="100">
        <f>E171/2</f>
        <v>0.5</v>
      </c>
      <c r="P171" s="100">
        <f>E171/2</f>
        <v>0.5</v>
      </c>
      <c r="Q171" s="58">
        <f>SUM(R171:T171)</f>
        <v>0.11093700000000001</v>
      </c>
      <c r="R171" s="34">
        <f>E171*0.5*0.18+N171*0.02</f>
        <v>0.0921</v>
      </c>
      <c r="S171" s="34">
        <f>(N171*0.18+(O171*12*21/1000))*0.13*0.7</f>
        <v>0.013185899999999999</v>
      </c>
      <c r="T171" s="34">
        <f>(N171*0.18+(O171*12*21/1000))*0.13*0.3</f>
        <v>0.0056511</v>
      </c>
    </row>
    <row r="172" spans="1:20" ht="15" customHeight="1">
      <c r="A172" s="866"/>
      <c r="B172" s="951"/>
      <c r="C172" s="956"/>
      <c r="D172" s="31">
        <v>2011</v>
      </c>
      <c r="E172" s="56">
        <f t="shared" si="64"/>
        <v>9.945</v>
      </c>
      <c r="F172" s="56">
        <v>6.125</v>
      </c>
      <c r="G172" s="56"/>
      <c r="H172" s="56">
        <v>2.975</v>
      </c>
      <c r="I172" s="56">
        <v>0.845</v>
      </c>
      <c r="J172" s="56"/>
      <c r="K172" s="56"/>
      <c r="L172" s="892"/>
      <c r="M172" s="892"/>
      <c r="N172" s="99">
        <f>E172*0.7*0.15</f>
        <v>1.044225</v>
      </c>
      <c r="O172" s="100">
        <f>E172/2</f>
        <v>4.9725</v>
      </c>
      <c r="P172" s="100">
        <f>E172/2</f>
        <v>4.9725</v>
      </c>
      <c r="Q172" s="58">
        <f>SUM(R172:T172)</f>
        <v>1.103268465</v>
      </c>
      <c r="R172" s="34">
        <f>E172*0.5*0.18+N172*0.02</f>
        <v>0.9159345</v>
      </c>
      <c r="S172" s="34">
        <f>(N172*0.18+(O172*12*21/1000))*0.13*0.7</f>
        <v>0.1311337755</v>
      </c>
      <c r="T172" s="34">
        <f>(N172*0.18+(O172*12*21/1000))*0.13*0.3</f>
        <v>0.0562001895</v>
      </c>
    </row>
    <row r="173" spans="1:20" ht="15.75" customHeight="1">
      <c r="A173" s="866"/>
      <c r="B173" s="951"/>
      <c r="C173" s="956"/>
      <c r="D173" s="31">
        <v>2012</v>
      </c>
      <c r="E173" s="56">
        <f t="shared" si="64"/>
        <v>9.945</v>
      </c>
      <c r="F173" s="56">
        <v>6.125</v>
      </c>
      <c r="G173" s="56"/>
      <c r="H173" s="56">
        <v>2.975</v>
      </c>
      <c r="I173" s="56">
        <v>0.845</v>
      </c>
      <c r="J173" s="56"/>
      <c r="K173" s="56"/>
      <c r="L173" s="892"/>
      <c r="M173" s="892"/>
      <c r="N173" s="99">
        <f>E173*0.7*0.15</f>
        <v>1.044225</v>
      </c>
      <c r="O173" s="100">
        <v>0</v>
      </c>
      <c r="P173" s="100">
        <f>E173/2</f>
        <v>4.9725</v>
      </c>
      <c r="Q173" s="58">
        <f>SUM(R173:T173)</f>
        <v>0.940369365</v>
      </c>
      <c r="R173" s="34">
        <f>E173*0.5*0.18+N173*0.02</f>
        <v>0.9159345</v>
      </c>
      <c r="S173" s="34">
        <f>(N173*0.18+(O173*12*21/1000))*0.13*0.7</f>
        <v>0.017104405499999996</v>
      </c>
      <c r="T173" s="34">
        <f>(N173*0.18+(O173*12*21/1000))*0.13*0.3</f>
        <v>0.007330459499999999</v>
      </c>
    </row>
    <row r="174" spans="1:20" ht="16.5" customHeight="1">
      <c r="A174" s="866"/>
      <c r="B174" s="951"/>
      <c r="C174" s="956"/>
      <c r="D174" s="31">
        <v>2013</v>
      </c>
      <c r="E174" s="56">
        <f t="shared" si="64"/>
        <v>9.945</v>
      </c>
      <c r="F174" s="56">
        <v>6.125</v>
      </c>
      <c r="G174" s="56"/>
      <c r="H174" s="56">
        <v>2.975</v>
      </c>
      <c r="I174" s="56">
        <v>0.845</v>
      </c>
      <c r="J174" s="56"/>
      <c r="K174" s="56"/>
      <c r="L174" s="892"/>
      <c r="M174" s="892"/>
      <c r="N174" s="99">
        <f>E174*0.7*0.15</f>
        <v>1.044225</v>
      </c>
      <c r="O174" s="100">
        <v>0</v>
      </c>
      <c r="P174" s="100">
        <f>E174/2</f>
        <v>4.9725</v>
      </c>
      <c r="Q174" s="58">
        <f>SUM(R174:T174)</f>
        <v>0.940369365</v>
      </c>
      <c r="R174" s="34">
        <f>E174*0.5*0.18+N174*0.02</f>
        <v>0.9159345</v>
      </c>
      <c r="S174" s="34">
        <f>(N174*0.18+(O174*12*21/1000))*0.13*0.7</f>
        <v>0.017104405499999996</v>
      </c>
      <c r="T174" s="34">
        <f>(N174*0.18+(O174*12*21/1000))*0.13*0.3</f>
        <v>0.007330459499999999</v>
      </c>
    </row>
    <row r="175" spans="1:20" ht="15" customHeight="1">
      <c r="A175" s="866"/>
      <c r="B175" s="951"/>
      <c r="C175" s="956"/>
      <c r="D175" s="31">
        <v>2014</v>
      </c>
      <c r="E175" s="56">
        <f t="shared" si="64"/>
        <v>9.870000000000001</v>
      </c>
      <c r="F175" s="56">
        <v>6.125</v>
      </c>
      <c r="G175" s="56"/>
      <c r="H175" s="56">
        <v>2.9</v>
      </c>
      <c r="I175" s="56">
        <v>0.845</v>
      </c>
      <c r="J175" s="56"/>
      <c r="K175" s="56"/>
      <c r="L175" s="892"/>
      <c r="M175" s="892"/>
      <c r="N175" s="99">
        <f>E175*0.7*0.15</f>
        <v>1.03635</v>
      </c>
      <c r="O175" s="100">
        <v>0</v>
      </c>
      <c r="P175" s="100">
        <f>E175/2</f>
        <v>4.9350000000000005</v>
      </c>
      <c r="Q175" s="58">
        <f>SUM(R175:T175)</f>
        <v>0.9332775900000002</v>
      </c>
      <c r="R175" s="34">
        <f>E175*0.5*0.18+N175*0.02</f>
        <v>0.9090270000000001</v>
      </c>
      <c r="S175" s="34">
        <f>(N175*0.18+(O175*12*21/1000))*0.13*0.7</f>
        <v>0.016975413</v>
      </c>
      <c r="T175" s="34">
        <f>(N175*0.18+(O175*12*21/1000))*0.13*0.3</f>
        <v>0.007275177000000001</v>
      </c>
    </row>
    <row r="176" spans="1:20" ht="15" customHeight="1">
      <c r="A176" s="866">
        <v>15</v>
      </c>
      <c r="B176" s="951" t="s">
        <v>167</v>
      </c>
      <c r="C176" s="952" t="s">
        <v>168</v>
      </c>
      <c r="D176" s="129" t="s">
        <v>570</v>
      </c>
      <c r="E176" s="57">
        <f aca="true" t="shared" si="73" ref="E176:K176">SUM(E177:E181)</f>
        <v>22.999999999999996</v>
      </c>
      <c r="F176" s="57">
        <f>SUM(F177:F181)</f>
        <v>15.399999999999999</v>
      </c>
      <c r="G176" s="57">
        <f t="shared" si="73"/>
        <v>0</v>
      </c>
      <c r="H176" s="57">
        <f t="shared" si="73"/>
        <v>0</v>
      </c>
      <c r="I176" s="57">
        <f t="shared" si="73"/>
        <v>7.6</v>
      </c>
      <c r="J176" s="57">
        <f t="shared" si="73"/>
        <v>0</v>
      </c>
      <c r="K176" s="57">
        <f t="shared" si="73"/>
        <v>0</v>
      </c>
      <c r="L176" s="892" t="s">
        <v>165</v>
      </c>
      <c r="M176" s="892" t="s">
        <v>166</v>
      </c>
      <c r="N176" s="382">
        <f aca="true" t="shared" si="74" ref="N176:N187">E176*0.7*0.15</f>
        <v>2.4149999999999996</v>
      </c>
      <c r="O176" s="85">
        <f aca="true" t="shared" si="75" ref="O176:T176">SUM(O177:O181)</f>
        <v>0</v>
      </c>
      <c r="P176" s="85">
        <f t="shared" si="75"/>
        <v>0</v>
      </c>
      <c r="Q176" s="85">
        <f t="shared" si="75"/>
        <v>2.1559999999999993</v>
      </c>
      <c r="R176" s="85">
        <f>SUM(R177:R181)</f>
        <v>1.8787999999999994</v>
      </c>
      <c r="S176" s="85">
        <f t="shared" si="75"/>
        <v>0.2771999999999999</v>
      </c>
      <c r="T176" s="85">
        <f t="shared" si="75"/>
        <v>0</v>
      </c>
    </row>
    <row r="177" spans="1:20" ht="15.75" customHeight="1">
      <c r="A177" s="866"/>
      <c r="B177" s="951"/>
      <c r="C177" s="952"/>
      <c r="D177" s="12">
        <v>2010</v>
      </c>
      <c r="E177" s="56">
        <f>SUM(F177:K177)</f>
        <v>1</v>
      </c>
      <c r="F177" s="56"/>
      <c r="G177" s="56"/>
      <c r="H177" s="56"/>
      <c r="I177" s="56">
        <v>1</v>
      </c>
      <c r="J177" s="56"/>
      <c r="K177" s="56"/>
      <c r="L177" s="892"/>
      <c r="M177" s="892"/>
      <c r="N177" s="127">
        <f t="shared" si="74"/>
        <v>0.105</v>
      </c>
      <c r="O177" s="128"/>
      <c r="P177" s="29">
        <f>O177</f>
        <v>0</v>
      </c>
      <c r="Q177" s="274">
        <f>SUM(R177:T177)</f>
        <v>0</v>
      </c>
      <c r="R177" s="88">
        <v>0</v>
      </c>
      <c r="S177" s="88">
        <v>0</v>
      </c>
      <c r="T177" s="88">
        <v>0</v>
      </c>
    </row>
    <row r="178" spans="1:20" ht="15" customHeight="1">
      <c r="A178" s="866"/>
      <c r="B178" s="951"/>
      <c r="C178" s="952"/>
      <c r="D178" s="12">
        <v>2011</v>
      </c>
      <c r="E178" s="56">
        <f>SUM(F178:K178)</f>
        <v>7.333333333333332</v>
      </c>
      <c r="F178" s="56">
        <v>5.133333333333333</v>
      </c>
      <c r="G178" s="56"/>
      <c r="H178" s="56"/>
      <c r="I178" s="56">
        <f>22/3*0.3</f>
        <v>2.1999999999999997</v>
      </c>
      <c r="J178" s="56"/>
      <c r="K178" s="56"/>
      <c r="L178" s="892"/>
      <c r="M178" s="892"/>
      <c r="N178" s="127">
        <f t="shared" si="74"/>
        <v>0.7699999999999998</v>
      </c>
      <c r="O178" s="128">
        <v>0</v>
      </c>
      <c r="P178" s="29">
        <f>P177+O178</f>
        <v>0</v>
      </c>
      <c r="Q178" s="274">
        <f>SUM(R178:T178)</f>
        <v>0</v>
      </c>
      <c r="R178" s="88">
        <v>0</v>
      </c>
      <c r="S178" s="88">
        <v>0</v>
      </c>
      <c r="T178" s="88">
        <v>0</v>
      </c>
    </row>
    <row r="179" spans="1:20" ht="15" customHeight="1">
      <c r="A179" s="866"/>
      <c r="B179" s="951"/>
      <c r="C179" s="952"/>
      <c r="D179" s="12">
        <v>2012</v>
      </c>
      <c r="E179" s="56">
        <f>SUM(F179:K179)</f>
        <v>7.333333333333332</v>
      </c>
      <c r="F179" s="56">
        <v>5.133333333333333</v>
      </c>
      <c r="G179" s="56"/>
      <c r="H179" s="56"/>
      <c r="I179" s="56">
        <f>22/3*0.3</f>
        <v>2.1999999999999997</v>
      </c>
      <c r="J179" s="56"/>
      <c r="K179" s="56"/>
      <c r="L179" s="892"/>
      <c r="M179" s="892"/>
      <c r="N179" s="127">
        <f t="shared" si="74"/>
        <v>0.7699999999999998</v>
      </c>
      <c r="O179" s="128">
        <v>0</v>
      </c>
      <c r="P179" s="29">
        <f>P178+O179</f>
        <v>0</v>
      </c>
      <c r="Q179" s="56">
        <f>SUM(R179:T179)</f>
        <v>1.0779999999999996</v>
      </c>
      <c r="R179" s="34">
        <f>E179*0.7*0.18+N179*0.02</f>
        <v>0.9393999999999997</v>
      </c>
      <c r="S179" s="101">
        <f>P179*16.344*1.07*12/1000*0.13*0.7+N179*0.18</f>
        <v>0.13859999999999995</v>
      </c>
      <c r="T179" s="101">
        <f>P179*16.344*1.07*12/1000*0.13*0.3</f>
        <v>0</v>
      </c>
    </row>
    <row r="180" spans="1:20" ht="15" customHeight="1">
      <c r="A180" s="866"/>
      <c r="B180" s="951"/>
      <c r="C180" s="952"/>
      <c r="D180" s="6">
        <v>2013</v>
      </c>
      <c r="E180" s="56">
        <f>SUM(F180:K180)</f>
        <v>7.333333333333332</v>
      </c>
      <c r="F180" s="56">
        <v>5.133333333333333</v>
      </c>
      <c r="G180" s="56"/>
      <c r="H180" s="58"/>
      <c r="I180" s="56">
        <f>22/3*0.3</f>
        <v>2.1999999999999997</v>
      </c>
      <c r="J180" s="58"/>
      <c r="K180" s="58"/>
      <c r="L180" s="892"/>
      <c r="M180" s="892"/>
      <c r="N180" s="127">
        <f t="shared" si="74"/>
        <v>0.7699999999999998</v>
      </c>
      <c r="O180" s="128">
        <v>0</v>
      </c>
      <c r="P180" s="29">
        <f>P179+O180</f>
        <v>0</v>
      </c>
      <c r="Q180" s="56">
        <f>SUM(R180:T180)</f>
        <v>1.0779999999999996</v>
      </c>
      <c r="R180" s="34">
        <f>E180*0.7*0.18+N180*0.02</f>
        <v>0.9393999999999997</v>
      </c>
      <c r="S180" s="101">
        <f>P180*16.344*1.07*12/1000*0.13*0.7+N180*0.18</f>
        <v>0.13859999999999995</v>
      </c>
      <c r="T180" s="101">
        <f>P180*16.344*1.07*12/1000*0.13*0.3</f>
        <v>0</v>
      </c>
    </row>
    <row r="181" spans="1:20" ht="15.75" customHeight="1">
      <c r="A181" s="866"/>
      <c r="B181" s="951"/>
      <c r="C181" s="952"/>
      <c r="D181" s="6">
        <v>2014</v>
      </c>
      <c r="E181" s="56">
        <f>SUM(F181:K181)</f>
        <v>0</v>
      </c>
      <c r="F181" s="56"/>
      <c r="G181" s="56"/>
      <c r="H181" s="58"/>
      <c r="I181" s="58"/>
      <c r="J181" s="58"/>
      <c r="K181" s="58"/>
      <c r="L181" s="892"/>
      <c r="M181" s="892"/>
      <c r="N181" s="127">
        <f t="shared" si="74"/>
        <v>0</v>
      </c>
      <c r="O181" s="128">
        <f>E181/2</f>
        <v>0</v>
      </c>
      <c r="P181" s="29">
        <f>P180+O181</f>
        <v>0</v>
      </c>
      <c r="Q181" s="56">
        <f>SUM(R181:T181)</f>
        <v>0</v>
      </c>
      <c r="R181" s="34">
        <f>E181*0.7*0.18+N181*0.02</f>
        <v>0</v>
      </c>
      <c r="S181" s="101">
        <f>P181*16.344*1.07*12/1000*0.13*0.7+N181*0.18</f>
        <v>0</v>
      </c>
      <c r="T181" s="101">
        <f>P181*16.344*1.07*12/1000*0.13*0.3</f>
        <v>0</v>
      </c>
    </row>
    <row r="182" spans="1:20" ht="16.5" customHeight="1">
      <c r="A182" s="866">
        <f>A176+1</f>
        <v>16</v>
      </c>
      <c r="B182" s="951" t="s">
        <v>169</v>
      </c>
      <c r="C182" s="952" t="s">
        <v>43</v>
      </c>
      <c r="D182" s="129" t="s">
        <v>570</v>
      </c>
      <c r="E182" s="57">
        <v>102</v>
      </c>
      <c r="F182" s="57">
        <f aca="true" t="shared" si="76" ref="F182:K182">SUM(F183:F187)</f>
        <v>64.39999999999999</v>
      </c>
      <c r="G182" s="57">
        <f t="shared" si="76"/>
        <v>0</v>
      </c>
      <c r="H182" s="57">
        <f t="shared" si="76"/>
        <v>0</v>
      </c>
      <c r="I182" s="57">
        <f t="shared" si="76"/>
        <v>37.5</v>
      </c>
      <c r="J182" s="57">
        <f t="shared" si="76"/>
        <v>0</v>
      </c>
      <c r="K182" s="57">
        <f t="shared" si="76"/>
        <v>0</v>
      </c>
      <c r="L182" s="892" t="s">
        <v>165</v>
      </c>
      <c r="M182" s="892" t="s">
        <v>170</v>
      </c>
      <c r="N182" s="382">
        <f t="shared" si="74"/>
        <v>10.709999999999999</v>
      </c>
      <c r="O182" s="85">
        <f aca="true" t="shared" si="77" ref="O182:T182">SUM(O183:O187)</f>
        <v>5</v>
      </c>
      <c r="P182" s="85">
        <f t="shared" si="77"/>
        <v>15</v>
      </c>
      <c r="Q182" s="85">
        <f t="shared" si="77"/>
        <v>13.923421071999998</v>
      </c>
      <c r="R182" s="85">
        <f t="shared" si="77"/>
        <v>11.776659999999998</v>
      </c>
      <c r="S182" s="85">
        <f t="shared" si="77"/>
        <v>2.0239947504</v>
      </c>
      <c r="T182" s="85">
        <f t="shared" si="77"/>
        <v>0.12276632159999998</v>
      </c>
    </row>
    <row r="183" spans="1:20" ht="15" customHeight="1">
      <c r="A183" s="866"/>
      <c r="B183" s="951"/>
      <c r="C183" s="952"/>
      <c r="D183" s="12">
        <v>2010</v>
      </c>
      <c r="E183" s="56">
        <f>SUM(F183:K183)</f>
        <v>3</v>
      </c>
      <c r="F183" s="56"/>
      <c r="G183" s="56"/>
      <c r="H183" s="56"/>
      <c r="I183" s="56">
        <v>3</v>
      </c>
      <c r="J183" s="56"/>
      <c r="K183" s="56"/>
      <c r="L183" s="892"/>
      <c r="M183" s="892"/>
      <c r="N183" s="127">
        <f t="shared" si="74"/>
        <v>0.31499999999999995</v>
      </c>
      <c r="O183" s="128"/>
      <c r="P183" s="29">
        <f>O183</f>
        <v>0</v>
      </c>
      <c r="Q183" s="274">
        <f>SUM(R183:T183)</f>
        <v>0</v>
      </c>
      <c r="R183" s="88">
        <v>0</v>
      </c>
      <c r="S183" s="88">
        <v>0</v>
      </c>
      <c r="T183" s="88">
        <v>0</v>
      </c>
    </row>
    <row r="184" spans="1:20" ht="15" customHeight="1">
      <c r="A184" s="866"/>
      <c r="B184" s="951"/>
      <c r="C184" s="952"/>
      <c r="D184" s="12">
        <v>2011</v>
      </c>
      <c r="E184" s="56">
        <f>SUM(F184:K184)</f>
        <v>7</v>
      </c>
      <c r="F184" s="56"/>
      <c r="G184" s="56"/>
      <c r="H184" s="56"/>
      <c r="I184" s="56">
        <v>7</v>
      </c>
      <c r="J184" s="56"/>
      <c r="K184" s="56"/>
      <c r="L184" s="892"/>
      <c r="M184" s="892"/>
      <c r="N184" s="127">
        <f t="shared" si="74"/>
        <v>0.7349999999999999</v>
      </c>
      <c r="O184" s="128"/>
      <c r="P184" s="29">
        <f>P183+O184</f>
        <v>0</v>
      </c>
      <c r="Q184" s="274">
        <f>SUM(R184:T184)</f>
        <v>0</v>
      </c>
      <c r="R184" s="88">
        <v>0</v>
      </c>
      <c r="S184" s="88">
        <v>0</v>
      </c>
      <c r="T184" s="88">
        <v>0</v>
      </c>
    </row>
    <row r="185" spans="1:20" ht="15.75" customHeight="1">
      <c r="A185" s="866"/>
      <c r="B185" s="951"/>
      <c r="C185" s="952"/>
      <c r="D185" s="12">
        <v>2012</v>
      </c>
      <c r="E185" s="56">
        <v>30.6</v>
      </c>
      <c r="F185" s="56">
        <v>21.466666666666665</v>
      </c>
      <c r="G185" s="56"/>
      <c r="H185" s="56"/>
      <c r="I185" s="56">
        <v>9.1</v>
      </c>
      <c r="J185" s="56"/>
      <c r="K185" s="56"/>
      <c r="L185" s="892"/>
      <c r="M185" s="892"/>
      <c r="N185" s="127">
        <f t="shared" si="74"/>
        <v>3.2129999999999996</v>
      </c>
      <c r="O185" s="128">
        <v>5</v>
      </c>
      <c r="P185" s="29">
        <f>P184+O185</f>
        <v>5</v>
      </c>
      <c r="Q185" s="56">
        <f>SUM(R185:T185)</f>
        <v>4.634607023999999</v>
      </c>
      <c r="R185" s="34">
        <f>E185*0.7*0.18+N185*0.02</f>
        <v>3.9198599999999995</v>
      </c>
      <c r="S185" s="101">
        <f>P185*16.344*1.07*12/1000*0.13*0.7+N185*0.18</f>
        <v>0.6738249167999999</v>
      </c>
      <c r="T185" s="101">
        <f>P185*16.344*1.07*12/1000*0.13*0.3</f>
        <v>0.040922107199999995</v>
      </c>
    </row>
    <row r="186" spans="1:20" ht="15.75" customHeight="1">
      <c r="A186" s="866"/>
      <c r="B186" s="951"/>
      <c r="C186" s="952"/>
      <c r="D186" s="6">
        <v>2013</v>
      </c>
      <c r="E186" s="56">
        <f>SUM(F186:K186)</f>
        <v>30.666666666666664</v>
      </c>
      <c r="F186" s="56">
        <v>21.466666666666665</v>
      </c>
      <c r="G186" s="58"/>
      <c r="H186" s="58"/>
      <c r="I186" s="56">
        <f>(102-10)/3*0.3</f>
        <v>9.2</v>
      </c>
      <c r="J186" s="58"/>
      <c r="K186" s="58"/>
      <c r="L186" s="892"/>
      <c r="M186" s="892"/>
      <c r="N186" s="127">
        <f t="shared" si="74"/>
        <v>3.2199999999999998</v>
      </c>
      <c r="O186" s="128">
        <v>0</v>
      </c>
      <c r="P186" s="29">
        <f>P185+O186</f>
        <v>5</v>
      </c>
      <c r="Q186" s="56">
        <f>SUM(R186:T186)</f>
        <v>4.6444070239999995</v>
      </c>
      <c r="R186" s="34">
        <f>E186*0.7*0.18+N186*0.02</f>
        <v>3.9283999999999994</v>
      </c>
      <c r="S186" s="101">
        <f>P186*16.344*1.07*12/1000*0.13*0.7+N186*0.18</f>
        <v>0.6750849167999999</v>
      </c>
      <c r="T186" s="101">
        <f>P186*16.344*1.07*12/1000*0.13*0.3</f>
        <v>0.040922107199999995</v>
      </c>
    </row>
    <row r="187" spans="1:20" ht="15.75" customHeight="1">
      <c r="A187" s="866"/>
      <c r="B187" s="951"/>
      <c r="C187" s="952"/>
      <c r="D187" s="6">
        <v>2014</v>
      </c>
      <c r="E187" s="56">
        <f>SUM(F187:K187)</f>
        <v>30.666666666666664</v>
      </c>
      <c r="F187" s="56">
        <v>21.466666666666665</v>
      </c>
      <c r="G187" s="58"/>
      <c r="H187" s="58"/>
      <c r="I187" s="56">
        <f>(102-10)/3*0.3</f>
        <v>9.2</v>
      </c>
      <c r="J187" s="58"/>
      <c r="K187" s="58"/>
      <c r="L187" s="892"/>
      <c r="M187" s="892"/>
      <c r="N187" s="127">
        <f t="shared" si="74"/>
        <v>3.2199999999999998</v>
      </c>
      <c r="O187" s="128">
        <v>0</v>
      </c>
      <c r="P187" s="29">
        <f>P186+O187</f>
        <v>5</v>
      </c>
      <c r="Q187" s="56">
        <f>SUM(R187:T187)</f>
        <v>4.6444070239999995</v>
      </c>
      <c r="R187" s="34">
        <f>E187*0.7*0.18+N187*0.02</f>
        <v>3.9283999999999994</v>
      </c>
      <c r="S187" s="101">
        <f>P187*16.344*1.07*12/1000*0.13*0.7+N187*0.18</f>
        <v>0.6750849167999999</v>
      </c>
      <c r="T187" s="101">
        <f>P187*16.344*1.07*12/1000*0.13*0.3</f>
        <v>0.040922107199999995</v>
      </c>
    </row>
    <row r="188" spans="1:20" ht="16.5" customHeight="1">
      <c r="A188" s="881" t="s">
        <v>185</v>
      </c>
      <c r="B188" s="881"/>
      <c r="C188" s="881"/>
      <c r="D188" s="881"/>
      <c r="E188" s="881"/>
      <c r="F188" s="881"/>
      <c r="G188" s="881"/>
      <c r="H188" s="881"/>
      <c r="I188" s="881"/>
      <c r="J188" s="881"/>
      <c r="K188" s="881"/>
      <c r="L188" s="881"/>
      <c r="M188" s="881"/>
      <c r="N188" s="881"/>
      <c r="O188" s="881"/>
      <c r="P188" s="881"/>
      <c r="Q188" s="881"/>
      <c r="R188" s="881"/>
      <c r="S188" s="881"/>
      <c r="T188" s="881"/>
    </row>
    <row r="189" spans="1:20" ht="15" customHeight="1">
      <c r="A189" s="888"/>
      <c r="B189" s="885" t="s">
        <v>647</v>
      </c>
      <c r="C189" s="885"/>
      <c r="D189" s="22">
        <v>2010</v>
      </c>
      <c r="E189" s="60">
        <f>E196+E202+E208+E214</f>
        <v>52.7</v>
      </c>
      <c r="F189" s="60">
        <f aca="true" t="shared" si="78" ref="F189:K189">F196+F202+F208+F214</f>
        <v>51.5</v>
      </c>
      <c r="G189" s="60">
        <f t="shared" si="78"/>
        <v>0</v>
      </c>
      <c r="H189" s="60">
        <f t="shared" si="78"/>
        <v>1.2</v>
      </c>
      <c r="I189" s="60">
        <f t="shared" si="78"/>
        <v>0</v>
      </c>
      <c r="J189" s="60">
        <f t="shared" si="78"/>
        <v>0</v>
      </c>
      <c r="K189" s="60">
        <f t="shared" si="78"/>
        <v>0</v>
      </c>
      <c r="L189" s="889"/>
      <c r="M189" s="889"/>
      <c r="N189" s="60">
        <f>N196+N202+N208+N214</f>
        <v>5.5335</v>
      </c>
      <c r="O189" s="60">
        <f aca="true" t="shared" si="79" ref="O189:T189">O196+O202+O208+O214</f>
        <v>26.6</v>
      </c>
      <c r="P189" s="60">
        <f t="shared" si="79"/>
        <v>25.75</v>
      </c>
      <c r="Q189" s="60">
        <f t="shared" si="79"/>
        <v>8.33156502</v>
      </c>
      <c r="R189" s="60">
        <f t="shared" si="79"/>
        <v>6.65367</v>
      </c>
      <c r="S189" s="60">
        <f t="shared" si="79"/>
        <v>1.458026514</v>
      </c>
      <c r="T189" s="60">
        <f t="shared" si="79"/>
        <v>0.21986850600000007</v>
      </c>
    </row>
    <row r="190" spans="1:20" ht="15" customHeight="1">
      <c r="A190" s="888"/>
      <c r="B190" s="885"/>
      <c r="C190" s="885"/>
      <c r="D190" s="22">
        <v>2011</v>
      </c>
      <c r="E190" s="60">
        <f aca="true" t="shared" si="80" ref="E190:K193">E197+E203+E209+E215</f>
        <v>77.4</v>
      </c>
      <c r="F190" s="60">
        <f t="shared" si="80"/>
        <v>75</v>
      </c>
      <c r="G190" s="60">
        <f t="shared" si="80"/>
        <v>0</v>
      </c>
      <c r="H190" s="60">
        <f t="shared" si="80"/>
        <v>2.4</v>
      </c>
      <c r="I190" s="60">
        <f t="shared" si="80"/>
        <v>0</v>
      </c>
      <c r="J190" s="60">
        <f t="shared" si="80"/>
        <v>0</v>
      </c>
      <c r="K190" s="60">
        <f t="shared" si="80"/>
        <v>0</v>
      </c>
      <c r="L190" s="889"/>
      <c r="M190" s="889"/>
      <c r="N190" s="60">
        <f aca="true" t="shared" si="81" ref="N190:T193">N197+N203+N209+N215</f>
        <v>8.126999999999999</v>
      </c>
      <c r="O190" s="60">
        <f t="shared" si="81"/>
        <v>64.2</v>
      </c>
      <c r="P190" s="60">
        <f t="shared" si="81"/>
        <v>37.5</v>
      </c>
      <c r="Q190" s="60">
        <f t="shared" si="81"/>
        <v>11.07170892</v>
      </c>
      <c r="R190" s="60">
        <f t="shared" si="81"/>
        <v>8.92854</v>
      </c>
      <c r="S190" s="60">
        <f t="shared" si="81"/>
        <v>1.7837182440000001</v>
      </c>
      <c r="T190" s="60">
        <f t="shared" si="81"/>
        <v>0.359450676</v>
      </c>
    </row>
    <row r="191" spans="1:20" ht="15" customHeight="1">
      <c r="A191" s="888"/>
      <c r="B191" s="885"/>
      <c r="C191" s="885"/>
      <c r="D191" s="22">
        <v>2012</v>
      </c>
      <c r="E191" s="60">
        <f t="shared" si="80"/>
        <v>129.04000000000002</v>
      </c>
      <c r="F191" s="60">
        <f t="shared" si="80"/>
        <v>125</v>
      </c>
      <c r="G191" s="60">
        <f t="shared" si="80"/>
        <v>0</v>
      </c>
      <c r="H191" s="60">
        <f t="shared" si="80"/>
        <v>4.04</v>
      </c>
      <c r="I191" s="60">
        <f t="shared" si="80"/>
        <v>0</v>
      </c>
      <c r="J191" s="60">
        <f t="shared" si="80"/>
        <v>0</v>
      </c>
      <c r="K191" s="60">
        <f t="shared" si="80"/>
        <v>0</v>
      </c>
      <c r="L191" s="889"/>
      <c r="M191" s="889"/>
      <c r="N191" s="60">
        <f t="shared" si="81"/>
        <v>13.5492</v>
      </c>
      <c r="O191" s="60">
        <f t="shared" si="81"/>
        <v>2.02</v>
      </c>
      <c r="P191" s="60">
        <f t="shared" si="81"/>
        <v>62.5</v>
      </c>
      <c r="Q191" s="60">
        <f t="shared" si="81"/>
        <v>16.800495599999998</v>
      </c>
      <c r="R191" s="60">
        <f t="shared" si="81"/>
        <v>13.684584000000001</v>
      </c>
      <c r="S191" s="60">
        <f t="shared" si="81"/>
        <v>2.46463812</v>
      </c>
      <c r="T191" s="60">
        <f t="shared" si="81"/>
        <v>0.6512734800000001</v>
      </c>
    </row>
    <row r="192" spans="1:20" ht="15" customHeight="1">
      <c r="A192" s="888"/>
      <c r="B192" s="885"/>
      <c r="C192" s="885"/>
      <c r="D192" s="22">
        <v>2013</v>
      </c>
      <c r="E192" s="60">
        <f t="shared" si="80"/>
        <v>282.2</v>
      </c>
      <c r="F192" s="60">
        <f t="shared" si="80"/>
        <v>275</v>
      </c>
      <c r="G192" s="60">
        <f t="shared" si="80"/>
        <v>0</v>
      </c>
      <c r="H192" s="60">
        <f t="shared" si="80"/>
        <v>7.2</v>
      </c>
      <c r="I192" s="60">
        <f t="shared" si="80"/>
        <v>0</v>
      </c>
      <c r="J192" s="60">
        <f t="shared" si="80"/>
        <v>0</v>
      </c>
      <c r="K192" s="60">
        <f t="shared" si="80"/>
        <v>0</v>
      </c>
      <c r="L192" s="889"/>
      <c r="M192" s="889"/>
      <c r="N192" s="60">
        <f t="shared" si="81"/>
        <v>13.881</v>
      </c>
      <c r="O192" s="60">
        <f t="shared" si="81"/>
        <v>18.6</v>
      </c>
      <c r="P192" s="60">
        <f t="shared" si="81"/>
        <v>62.5</v>
      </c>
      <c r="Q192" s="60">
        <f t="shared" si="81"/>
        <v>30.021056520000002</v>
      </c>
      <c r="R192" s="60">
        <f t="shared" si="81"/>
        <v>20.20562</v>
      </c>
      <c r="S192" s="60">
        <f t="shared" si="81"/>
        <v>7.486305564</v>
      </c>
      <c r="T192" s="60">
        <f t="shared" si="81"/>
        <v>2.329130956</v>
      </c>
    </row>
    <row r="193" spans="1:20" ht="15" customHeight="1">
      <c r="A193" s="888"/>
      <c r="B193" s="885"/>
      <c r="C193" s="885"/>
      <c r="D193" s="22">
        <v>2014</v>
      </c>
      <c r="E193" s="60">
        <f t="shared" si="80"/>
        <v>335.6</v>
      </c>
      <c r="F193" s="60">
        <f t="shared" si="80"/>
        <v>328.5</v>
      </c>
      <c r="G193" s="60">
        <f t="shared" si="80"/>
        <v>0</v>
      </c>
      <c r="H193" s="60">
        <f t="shared" si="80"/>
        <v>7.1</v>
      </c>
      <c r="I193" s="60">
        <f t="shared" si="80"/>
        <v>0</v>
      </c>
      <c r="J193" s="60">
        <f t="shared" si="80"/>
        <v>0</v>
      </c>
      <c r="K193" s="60">
        <f t="shared" si="80"/>
        <v>0</v>
      </c>
      <c r="L193" s="889"/>
      <c r="M193" s="889"/>
      <c r="N193" s="60">
        <f t="shared" si="81"/>
        <v>28.863</v>
      </c>
      <c r="O193" s="60">
        <f t="shared" si="81"/>
        <v>17.55</v>
      </c>
      <c r="P193" s="60">
        <f t="shared" si="81"/>
        <v>76.75</v>
      </c>
      <c r="Q193" s="60">
        <f t="shared" si="81"/>
        <v>33.17166732</v>
      </c>
      <c r="R193" s="60">
        <f t="shared" si="81"/>
        <v>22.821260000000002</v>
      </c>
      <c r="S193" s="60">
        <f t="shared" si="81"/>
        <v>7.860785124</v>
      </c>
      <c r="T193" s="60">
        <f t="shared" si="81"/>
        <v>2.489622196</v>
      </c>
    </row>
    <row r="194" spans="1:20" ht="15" customHeight="1">
      <c r="A194" s="888"/>
      <c r="B194" s="885"/>
      <c r="C194" s="885"/>
      <c r="D194" s="22" t="s">
        <v>378</v>
      </c>
      <c r="E194" s="60">
        <f>SUM(E189:E193)</f>
        <v>876.94</v>
      </c>
      <c r="F194" s="60">
        <f aca="true" t="shared" si="82" ref="F194:K194">SUM(F189:F193)</f>
        <v>855</v>
      </c>
      <c r="G194" s="60">
        <f t="shared" si="82"/>
        <v>0</v>
      </c>
      <c r="H194" s="60">
        <f t="shared" si="82"/>
        <v>21.939999999999998</v>
      </c>
      <c r="I194" s="60">
        <f t="shared" si="82"/>
        <v>0</v>
      </c>
      <c r="J194" s="60">
        <f t="shared" si="82"/>
        <v>0</v>
      </c>
      <c r="K194" s="60">
        <f t="shared" si="82"/>
        <v>0</v>
      </c>
      <c r="L194" s="889"/>
      <c r="M194" s="889"/>
      <c r="N194" s="60">
        <f aca="true" t="shared" si="83" ref="N194:T194">SUM(N189:N193)</f>
        <v>69.9537</v>
      </c>
      <c r="O194" s="102">
        <f t="shared" si="83"/>
        <v>128.97000000000003</v>
      </c>
      <c r="P194" s="60"/>
      <c r="Q194" s="60">
        <f t="shared" si="83"/>
        <v>99.39649338</v>
      </c>
      <c r="R194" s="60">
        <f t="shared" si="83"/>
        <v>72.29367400000001</v>
      </c>
      <c r="S194" s="60">
        <f t="shared" si="83"/>
        <v>21.053473566</v>
      </c>
      <c r="T194" s="60">
        <f t="shared" si="83"/>
        <v>6.0493458140000005</v>
      </c>
    </row>
    <row r="195" spans="1:20" ht="15" customHeight="1">
      <c r="A195" s="866">
        <f>A182+1</f>
        <v>17</v>
      </c>
      <c r="B195" s="955" t="s">
        <v>57</v>
      </c>
      <c r="C195" s="890" t="s">
        <v>473</v>
      </c>
      <c r="D195" s="129" t="s">
        <v>570</v>
      </c>
      <c r="E195" s="57">
        <f>SUM(E196:E200)</f>
        <v>325</v>
      </c>
      <c r="F195" s="57">
        <f aca="true" t="shared" si="84" ref="F195:K195">SUM(F196:F200)</f>
        <v>325</v>
      </c>
      <c r="G195" s="57">
        <f t="shared" si="84"/>
        <v>0</v>
      </c>
      <c r="H195" s="57">
        <f t="shared" si="84"/>
        <v>0</v>
      </c>
      <c r="I195" s="57">
        <f t="shared" si="84"/>
        <v>0</v>
      </c>
      <c r="J195" s="57">
        <f t="shared" si="84"/>
        <v>0</v>
      </c>
      <c r="K195" s="57">
        <f t="shared" si="84"/>
        <v>0</v>
      </c>
      <c r="L195" s="892" t="s">
        <v>30</v>
      </c>
      <c r="M195" s="892" t="s">
        <v>474</v>
      </c>
      <c r="N195" s="379">
        <f aca="true" t="shared" si="85" ref="N195:T195">SUM(N196:N200)</f>
        <v>12</v>
      </c>
      <c r="O195" s="380">
        <f t="shared" si="85"/>
        <v>15</v>
      </c>
      <c r="P195" s="380"/>
      <c r="Q195" s="379">
        <f t="shared" si="85"/>
        <v>25.740000000000002</v>
      </c>
      <c r="R195" s="379">
        <f t="shared" si="85"/>
        <v>12.46</v>
      </c>
      <c r="S195" s="379">
        <f t="shared" si="85"/>
        <v>9.96</v>
      </c>
      <c r="T195" s="379">
        <f t="shared" si="85"/>
        <v>3.32</v>
      </c>
    </row>
    <row r="196" spans="1:20" ht="15">
      <c r="A196" s="866"/>
      <c r="B196" s="955"/>
      <c r="C196" s="890"/>
      <c r="D196" s="12">
        <v>2010</v>
      </c>
      <c r="E196" s="56">
        <f>SUM(F196:K196)</f>
        <v>0</v>
      </c>
      <c r="F196" s="56"/>
      <c r="G196" s="56"/>
      <c r="H196" s="56"/>
      <c r="I196" s="56"/>
      <c r="J196" s="56"/>
      <c r="K196" s="56"/>
      <c r="L196" s="892"/>
      <c r="M196" s="892"/>
      <c r="N196" s="32">
        <v>0</v>
      </c>
      <c r="O196" s="86">
        <v>0</v>
      </c>
      <c r="P196" s="86"/>
      <c r="Q196" s="58">
        <f>SUM(R196:T196)</f>
        <v>0</v>
      </c>
      <c r="R196" s="34">
        <f>E196*0.5*0.18+N196*0.02</f>
        <v>0</v>
      </c>
      <c r="S196" s="34">
        <f>(N196*0.18+(O196*12*21/1000))*0.13*0.7</f>
        <v>0</v>
      </c>
      <c r="T196" s="34">
        <f>(N196*0.18+(O196*12*21/1000))*0.13*0.3</f>
        <v>0</v>
      </c>
    </row>
    <row r="197" spans="1:20" ht="15" customHeight="1">
      <c r="A197" s="866"/>
      <c r="B197" s="955"/>
      <c r="C197" s="890"/>
      <c r="D197" s="12">
        <v>2011</v>
      </c>
      <c r="E197" s="56">
        <f aca="true" t="shared" si="86" ref="E197:E206">SUM(F197:K197)</f>
        <v>0</v>
      </c>
      <c r="F197" s="56"/>
      <c r="G197" s="56"/>
      <c r="H197" s="56"/>
      <c r="I197" s="56"/>
      <c r="J197" s="56"/>
      <c r="K197" s="56"/>
      <c r="L197" s="892"/>
      <c r="M197" s="892"/>
      <c r="N197" s="32">
        <v>0</v>
      </c>
      <c r="O197" s="86">
        <v>0</v>
      </c>
      <c r="P197" s="86"/>
      <c r="Q197" s="58">
        <f>SUM(R197:T197)</f>
        <v>0</v>
      </c>
      <c r="R197" s="34">
        <f>E197*0.5*0.18+N197*0.02</f>
        <v>0</v>
      </c>
      <c r="S197" s="34">
        <f>(N197*0.18+(O197*12*21/1000))*0.13*0.7</f>
        <v>0</v>
      </c>
      <c r="T197" s="34">
        <f>(N197*0.18+(O197*12*21/1000))*0.13*0.3</f>
        <v>0</v>
      </c>
    </row>
    <row r="198" spans="1:20" ht="15" customHeight="1">
      <c r="A198" s="866"/>
      <c r="B198" s="955"/>
      <c r="C198" s="890"/>
      <c r="D198" s="12">
        <v>2012</v>
      </c>
      <c r="E198" s="56">
        <f t="shared" si="86"/>
        <v>0</v>
      </c>
      <c r="F198" s="56"/>
      <c r="G198" s="56"/>
      <c r="H198" s="56"/>
      <c r="I198" s="56"/>
      <c r="J198" s="56"/>
      <c r="K198" s="56"/>
      <c r="L198" s="892"/>
      <c r="M198" s="892"/>
      <c r="N198" s="32">
        <v>0</v>
      </c>
      <c r="O198" s="86">
        <v>0</v>
      </c>
      <c r="P198" s="86"/>
      <c r="Q198" s="58">
        <f>SUM(R198:T198)</f>
        <v>0</v>
      </c>
      <c r="R198" s="34">
        <f>E198*0.5*0.18+N198*0.02</f>
        <v>0</v>
      </c>
      <c r="S198" s="34">
        <f>(N198*0.18+(O198*12*21/1000))*0.13*0.7</f>
        <v>0</v>
      </c>
      <c r="T198" s="34">
        <f>(N198*0.18+(O198*12*21/1000))*0.13*0.3</f>
        <v>0</v>
      </c>
    </row>
    <row r="199" spans="1:20" ht="15">
      <c r="A199" s="866"/>
      <c r="B199" s="955"/>
      <c r="C199" s="890"/>
      <c r="D199" s="7">
        <v>2013</v>
      </c>
      <c r="E199" s="56">
        <f t="shared" si="86"/>
        <v>150</v>
      </c>
      <c r="F199" s="58">
        <v>150</v>
      </c>
      <c r="G199" s="58"/>
      <c r="H199" s="58"/>
      <c r="I199" s="58"/>
      <c r="J199" s="58"/>
      <c r="K199" s="58"/>
      <c r="L199" s="892"/>
      <c r="M199" s="892"/>
      <c r="N199" s="32">
        <v>0</v>
      </c>
      <c r="O199" s="86">
        <v>15</v>
      </c>
      <c r="P199" s="86"/>
      <c r="Q199" s="65">
        <f>R199+S199+T199</f>
        <v>12.870000000000001</v>
      </c>
      <c r="R199" s="65">
        <v>6.23</v>
      </c>
      <c r="S199" s="65">
        <v>4.98</v>
      </c>
      <c r="T199" s="65">
        <v>1.66</v>
      </c>
    </row>
    <row r="200" spans="1:20" ht="15">
      <c r="A200" s="866"/>
      <c r="B200" s="955"/>
      <c r="C200" s="890"/>
      <c r="D200" s="6">
        <v>2014</v>
      </c>
      <c r="E200" s="56">
        <f t="shared" si="86"/>
        <v>175</v>
      </c>
      <c r="F200" s="58">
        <v>175</v>
      </c>
      <c r="G200" s="58"/>
      <c r="H200" s="58"/>
      <c r="I200" s="58"/>
      <c r="J200" s="58"/>
      <c r="K200" s="58"/>
      <c r="L200" s="892"/>
      <c r="M200" s="892"/>
      <c r="N200" s="32">
        <v>12</v>
      </c>
      <c r="O200" s="86">
        <v>0</v>
      </c>
      <c r="P200" s="86"/>
      <c r="Q200" s="65">
        <f>R200+S200+T200</f>
        <v>12.870000000000001</v>
      </c>
      <c r="R200" s="65">
        <v>6.23</v>
      </c>
      <c r="S200" s="65">
        <v>4.98</v>
      </c>
      <c r="T200" s="65">
        <v>1.66</v>
      </c>
    </row>
    <row r="201" spans="1:20" ht="15" customHeight="1">
      <c r="A201" s="866">
        <f>A195+1</f>
        <v>18</v>
      </c>
      <c r="B201" s="879" t="s">
        <v>486</v>
      </c>
      <c r="C201" s="880" t="s">
        <v>487</v>
      </c>
      <c r="D201" s="129" t="s">
        <v>570</v>
      </c>
      <c r="E201" s="57">
        <f aca="true" t="shared" si="87" ref="E201:K201">SUM(E202:E206)</f>
        <v>21.939999999999998</v>
      </c>
      <c r="F201" s="57">
        <f t="shared" si="87"/>
        <v>0</v>
      </c>
      <c r="G201" s="57">
        <f t="shared" si="87"/>
        <v>0</v>
      </c>
      <c r="H201" s="57">
        <f t="shared" si="87"/>
        <v>21.939999999999998</v>
      </c>
      <c r="I201" s="57">
        <f t="shared" si="87"/>
        <v>0</v>
      </c>
      <c r="J201" s="57">
        <f t="shared" si="87"/>
        <v>0</v>
      </c>
      <c r="K201" s="57">
        <f t="shared" si="87"/>
        <v>0</v>
      </c>
      <c r="L201" s="878" t="s">
        <v>463</v>
      </c>
      <c r="M201" s="878" t="s">
        <v>488</v>
      </c>
      <c r="N201" s="379">
        <f aca="true" t="shared" si="88" ref="N201:T201">SUM(N202:N206)</f>
        <v>2.3037</v>
      </c>
      <c r="O201" s="380">
        <f t="shared" si="88"/>
        <v>10.969999999999999</v>
      </c>
      <c r="P201" s="380"/>
      <c r="Q201" s="379">
        <f t="shared" si="88"/>
        <v>2.4339577799999996</v>
      </c>
      <c r="R201" s="379">
        <f t="shared" si="88"/>
        <v>2.0206739999999996</v>
      </c>
      <c r="S201" s="379">
        <f t="shared" si="88"/>
        <v>0.289298646</v>
      </c>
      <c r="T201" s="379">
        <f t="shared" si="88"/>
        <v>0.123985134</v>
      </c>
    </row>
    <row r="202" spans="1:20" ht="27.75" customHeight="1">
      <c r="A202" s="866"/>
      <c r="B202" s="879"/>
      <c r="C202" s="880"/>
      <c r="D202" s="12">
        <v>2010</v>
      </c>
      <c r="E202" s="56">
        <f t="shared" si="86"/>
        <v>1.2</v>
      </c>
      <c r="F202" s="46"/>
      <c r="G202" s="46"/>
      <c r="H202" s="46">
        <v>1.2</v>
      </c>
      <c r="I202" s="46"/>
      <c r="J202" s="46"/>
      <c r="K202" s="46"/>
      <c r="L202" s="878"/>
      <c r="M202" s="878"/>
      <c r="N202" s="99">
        <f>E202*0.7*0.15</f>
        <v>0.126</v>
      </c>
      <c r="O202" s="100">
        <f>E202/2</f>
        <v>0.6</v>
      </c>
      <c r="P202" s="100"/>
      <c r="Q202" s="58">
        <f>SUM(R202:T202)</f>
        <v>0.1331244</v>
      </c>
      <c r="R202" s="34">
        <f>E202*0.5*0.18+N202*0.02</f>
        <v>0.11052</v>
      </c>
      <c r="S202" s="34">
        <f>(N202*0.18+(O202*12*21/1000))*0.13*0.7</f>
        <v>0.01582308</v>
      </c>
      <c r="T202" s="34">
        <f>(N202*0.18+(O202*12*21/1000))*0.13*0.3</f>
        <v>0.0067813199999999995</v>
      </c>
    </row>
    <row r="203" spans="1:20" ht="21" customHeight="1">
      <c r="A203" s="866"/>
      <c r="B203" s="879"/>
      <c r="C203" s="880"/>
      <c r="D203" s="12">
        <v>2011</v>
      </c>
      <c r="E203" s="56">
        <f t="shared" si="86"/>
        <v>2.4</v>
      </c>
      <c r="F203" s="46"/>
      <c r="G203" s="46"/>
      <c r="H203" s="46">
        <v>2.4</v>
      </c>
      <c r="I203" s="46"/>
      <c r="J203" s="46"/>
      <c r="K203" s="46"/>
      <c r="L203" s="878"/>
      <c r="M203" s="878"/>
      <c r="N203" s="99">
        <f>E203*0.7*0.15</f>
        <v>0.252</v>
      </c>
      <c r="O203" s="100">
        <f>E203/2</f>
        <v>1.2</v>
      </c>
      <c r="P203" s="100"/>
      <c r="Q203" s="58">
        <f>SUM(R203:T203)</f>
        <v>0.2662488</v>
      </c>
      <c r="R203" s="34">
        <f>E203*0.5*0.18+N203*0.02</f>
        <v>0.22104</v>
      </c>
      <c r="S203" s="34">
        <f>(N203*0.18+(O203*12*21/1000))*0.13*0.7</f>
        <v>0.03164616</v>
      </c>
      <c r="T203" s="34">
        <f>(N203*0.18+(O203*12*21/1000))*0.13*0.3</f>
        <v>0.013562639999999999</v>
      </c>
    </row>
    <row r="204" spans="1:20" ht="20.25" customHeight="1">
      <c r="A204" s="866"/>
      <c r="B204" s="879"/>
      <c r="C204" s="880"/>
      <c r="D204" s="12">
        <v>2012</v>
      </c>
      <c r="E204" s="56">
        <f t="shared" si="86"/>
        <v>4.04</v>
      </c>
      <c r="F204" s="46"/>
      <c r="G204" s="46"/>
      <c r="H204" s="46">
        <v>4.04</v>
      </c>
      <c r="I204" s="46"/>
      <c r="J204" s="46"/>
      <c r="K204" s="46"/>
      <c r="L204" s="878"/>
      <c r="M204" s="878"/>
      <c r="N204" s="99">
        <f>E204*0.7*0.15</f>
        <v>0.42419999999999997</v>
      </c>
      <c r="O204" s="100">
        <f>E204/2</f>
        <v>2.02</v>
      </c>
      <c r="P204" s="100"/>
      <c r="Q204" s="58">
        <f>SUM(R204:T204)</f>
        <v>0.44818547999999997</v>
      </c>
      <c r="R204" s="34">
        <f>E204*0.5*0.18+N204*0.02</f>
        <v>0.37208399999999997</v>
      </c>
      <c r="S204" s="34">
        <f>(N204*0.18+(O204*12*21/1000))*0.13*0.7</f>
        <v>0.05327103600000001</v>
      </c>
      <c r="T204" s="34">
        <f>(N204*0.18+(O204*12*21/1000))*0.13*0.3</f>
        <v>0.022830444000000002</v>
      </c>
    </row>
    <row r="205" spans="1:20" ht="15">
      <c r="A205" s="866"/>
      <c r="B205" s="879"/>
      <c r="C205" s="880"/>
      <c r="D205" s="7">
        <v>2013</v>
      </c>
      <c r="E205" s="56">
        <f t="shared" si="86"/>
        <v>7.2</v>
      </c>
      <c r="F205" s="53"/>
      <c r="G205" s="53"/>
      <c r="H205" s="53">
        <v>7.2</v>
      </c>
      <c r="I205" s="53"/>
      <c r="J205" s="53"/>
      <c r="K205" s="53"/>
      <c r="L205" s="878"/>
      <c r="M205" s="878"/>
      <c r="N205" s="99">
        <f>E205*0.7*0.15</f>
        <v>0.756</v>
      </c>
      <c r="O205" s="100">
        <f>E205/2</f>
        <v>3.6</v>
      </c>
      <c r="P205" s="100"/>
      <c r="Q205" s="58">
        <f>SUM(R205:T205)</f>
        <v>0.7987464000000001</v>
      </c>
      <c r="R205" s="34">
        <f>E205*0.5*0.18+N205*0.02</f>
        <v>0.66312</v>
      </c>
      <c r="S205" s="34">
        <f>(N205*0.18+(O205*12*21/1000))*0.13*0.7</f>
        <v>0.09493848</v>
      </c>
      <c r="T205" s="34">
        <f>(N205*0.18+(O205*12*21/1000))*0.13*0.3</f>
        <v>0.04068792</v>
      </c>
    </row>
    <row r="206" spans="1:20" ht="15">
      <c r="A206" s="866"/>
      <c r="B206" s="879"/>
      <c r="C206" s="880"/>
      <c r="D206" s="6">
        <v>2014</v>
      </c>
      <c r="E206" s="56">
        <f t="shared" si="86"/>
        <v>7.1</v>
      </c>
      <c r="F206" s="53"/>
      <c r="G206" s="53"/>
      <c r="H206" s="53">
        <v>7.1</v>
      </c>
      <c r="I206" s="53"/>
      <c r="J206" s="53"/>
      <c r="K206" s="53"/>
      <c r="L206" s="878"/>
      <c r="M206" s="878"/>
      <c r="N206" s="99">
        <f>E206*0.7*0.15</f>
        <v>0.7454999999999999</v>
      </c>
      <c r="O206" s="100">
        <f>E206/2</f>
        <v>3.55</v>
      </c>
      <c r="P206" s="100"/>
      <c r="Q206" s="58">
        <f>SUM(R206:T206)</f>
        <v>0.7876526999999998</v>
      </c>
      <c r="R206" s="34">
        <f>E206*0.5*0.18+N206*0.02</f>
        <v>0.6539099999999999</v>
      </c>
      <c r="S206" s="34">
        <f>(N206*0.18+(O206*12*21/1000))*0.13*0.7</f>
        <v>0.09361988999999998</v>
      </c>
      <c r="T206" s="34">
        <f>(N206*0.18+(O206*12*21/1000))*0.13*0.3</f>
        <v>0.040122809999999995</v>
      </c>
    </row>
    <row r="207" spans="1:20" ht="15">
      <c r="A207" s="866">
        <v>19</v>
      </c>
      <c r="B207" s="951" t="s">
        <v>679</v>
      </c>
      <c r="C207" s="952" t="s">
        <v>660</v>
      </c>
      <c r="D207" s="129" t="s">
        <v>570</v>
      </c>
      <c r="E207" s="57">
        <f aca="true" t="shared" si="89" ref="E207:K207">SUM(E208:E212)</f>
        <v>280</v>
      </c>
      <c r="F207" s="57">
        <f t="shared" si="89"/>
        <v>280</v>
      </c>
      <c r="G207" s="57">
        <f t="shared" si="89"/>
        <v>0</v>
      </c>
      <c r="H207" s="57">
        <f t="shared" si="89"/>
        <v>0</v>
      </c>
      <c r="I207" s="57">
        <f t="shared" si="89"/>
        <v>0</v>
      </c>
      <c r="J207" s="57">
        <f t="shared" si="89"/>
        <v>0</v>
      </c>
      <c r="K207" s="57">
        <f t="shared" si="89"/>
        <v>0</v>
      </c>
      <c r="L207" s="892" t="s">
        <v>30</v>
      </c>
      <c r="M207" s="892" t="s">
        <v>678</v>
      </c>
      <c r="N207" s="382">
        <f aca="true" t="shared" si="90" ref="N207:T207">SUM(N208:N212)</f>
        <v>29.4</v>
      </c>
      <c r="O207" s="85">
        <f>SUM(O208:O212)</f>
        <v>78</v>
      </c>
      <c r="P207" s="85"/>
      <c r="Q207" s="382">
        <f t="shared" si="90"/>
        <v>31.062360000000005</v>
      </c>
      <c r="R207" s="382">
        <f t="shared" si="90"/>
        <v>25.787999999999997</v>
      </c>
      <c r="S207" s="382">
        <f t="shared" si="90"/>
        <v>3.6920520000000003</v>
      </c>
      <c r="T207" s="382">
        <f t="shared" si="90"/>
        <v>1.5823079999999998</v>
      </c>
    </row>
    <row r="208" spans="1:20" ht="15">
      <c r="A208" s="866"/>
      <c r="B208" s="951"/>
      <c r="C208" s="952"/>
      <c r="D208" s="12">
        <v>2010</v>
      </c>
      <c r="E208" s="56">
        <f>SUM(F208:K208)</f>
        <v>1.5</v>
      </c>
      <c r="F208" s="56">
        <v>1.5</v>
      </c>
      <c r="G208" s="57"/>
      <c r="H208" s="57"/>
      <c r="I208" s="57"/>
      <c r="J208" s="57"/>
      <c r="K208" s="57"/>
      <c r="L208" s="892"/>
      <c r="M208" s="892"/>
      <c r="N208" s="127">
        <f>E208*0.7*0.15</f>
        <v>0.15749999999999997</v>
      </c>
      <c r="O208" s="83">
        <v>1</v>
      </c>
      <c r="P208" s="128">
        <f>E208/2</f>
        <v>0.75</v>
      </c>
      <c r="Q208" s="56">
        <f>SUM(R208:T208)</f>
        <v>0.16640549999999998</v>
      </c>
      <c r="R208" s="32">
        <f>E208*0.5*0.18+N208*0.02</f>
        <v>0.13815</v>
      </c>
      <c r="S208" s="32">
        <f>(N208*0.18+(P208*12*21/1000))*0.13*0.7</f>
        <v>0.019778849999999997</v>
      </c>
      <c r="T208" s="32">
        <f>(N208*0.18+(P208*12*21/1000))*0.13*0.3</f>
        <v>0.008476649999999999</v>
      </c>
    </row>
    <row r="209" spans="1:20" ht="15">
      <c r="A209" s="866"/>
      <c r="B209" s="951"/>
      <c r="C209" s="952"/>
      <c r="D209" s="12">
        <v>2011</v>
      </c>
      <c r="E209" s="56">
        <f>SUM(F209:K209)</f>
        <v>25</v>
      </c>
      <c r="F209" s="56">
        <f>125-100</f>
        <v>25</v>
      </c>
      <c r="G209" s="57"/>
      <c r="H209" s="57"/>
      <c r="I209" s="57"/>
      <c r="J209" s="57"/>
      <c r="K209" s="57"/>
      <c r="L209" s="892"/>
      <c r="M209" s="892"/>
      <c r="N209" s="127">
        <f>E209*0.7*0.15</f>
        <v>2.625</v>
      </c>
      <c r="O209" s="83">
        <v>63</v>
      </c>
      <c r="P209" s="128">
        <f>E209/2</f>
        <v>12.5</v>
      </c>
      <c r="Q209" s="56">
        <f>SUM(R209:T209)</f>
        <v>2.7734250000000005</v>
      </c>
      <c r="R209" s="32">
        <f>E209*0.5*0.18+N209*0.02</f>
        <v>2.3025</v>
      </c>
      <c r="S209" s="32">
        <f>(N209*0.18+(P209*12*21/1000))*0.13*0.7</f>
        <v>0.3296475</v>
      </c>
      <c r="T209" s="32">
        <f>(N209*0.18+(P209*12*21/1000))*0.13*0.3</f>
        <v>0.1412775</v>
      </c>
    </row>
    <row r="210" spans="1:20" ht="15">
      <c r="A210" s="866"/>
      <c r="B210" s="951"/>
      <c r="C210" s="952"/>
      <c r="D210" s="12">
        <v>2012</v>
      </c>
      <c r="E210" s="56">
        <f>SUM(F210:K210)</f>
        <v>75</v>
      </c>
      <c r="F210" s="56">
        <f>125-50</f>
        <v>75</v>
      </c>
      <c r="G210" s="57"/>
      <c r="H210" s="57"/>
      <c r="I210" s="57"/>
      <c r="J210" s="57"/>
      <c r="K210" s="57"/>
      <c r="L210" s="892"/>
      <c r="M210" s="892"/>
      <c r="N210" s="127">
        <f>E210*0.7*0.15</f>
        <v>7.875</v>
      </c>
      <c r="O210" s="83">
        <v>0</v>
      </c>
      <c r="P210" s="128">
        <f>E210/2</f>
        <v>37.5</v>
      </c>
      <c r="Q210" s="56">
        <f>SUM(R210:T210)</f>
        <v>8.320275</v>
      </c>
      <c r="R210" s="32">
        <f>E210*0.5*0.18+N210*0.02</f>
        <v>6.9075</v>
      </c>
      <c r="S210" s="32">
        <f>(N210*0.18+(P210*12*21/1000))*0.13*0.7</f>
        <v>0.9889425000000001</v>
      </c>
      <c r="T210" s="32">
        <f>(N210*0.18+(P210*12*21/1000))*0.13*0.3</f>
        <v>0.4238325</v>
      </c>
    </row>
    <row r="211" spans="1:20" ht="15">
      <c r="A211" s="866"/>
      <c r="B211" s="951"/>
      <c r="C211" s="952"/>
      <c r="D211" s="6">
        <v>2013</v>
      </c>
      <c r="E211" s="56">
        <f>SUM(F211:K211)</f>
        <v>75</v>
      </c>
      <c r="F211" s="56">
        <f>125-50</f>
        <v>75</v>
      </c>
      <c r="G211" s="57"/>
      <c r="H211" s="57"/>
      <c r="I211" s="57"/>
      <c r="J211" s="57"/>
      <c r="K211" s="57"/>
      <c r="L211" s="892"/>
      <c r="M211" s="892"/>
      <c r="N211" s="127">
        <f>E211*0.7*0.15</f>
        <v>7.875</v>
      </c>
      <c r="O211" s="83">
        <v>0</v>
      </c>
      <c r="P211" s="128">
        <f>E211/2</f>
        <v>37.5</v>
      </c>
      <c r="Q211" s="56">
        <f>SUM(R211:T211)</f>
        <v>8.320275</v>
      </c>
      <c r="R211" s="32">
        <f>E211*0.5*0.18+N211*0.02</f>
        <v>6.9075</v>
      </c>
      <c r="S211" s="32">
        <f>(N211*0.18+(P211*12*21/1000))*0.13*0.7</f>
        <v>0.9889425000000001</v>
      </c>
      <c r="T211" s="32">
        <f>(N211*0.18+(P211*12*21/1000))*0.13*0.3</f>
        <v>0.4238325</v>
      </c>
    </row>
    <row r="212" spans="1:20" ht="15">
      <c r="A212" s="866"/>
      <c r="B212" s="951"/>
      <c r="C212" s="952"/>
      <c r="D212" s="6">
        <v>2014</v>
      </c>
      <c r="E212" s="56">
        <f>SUM(F212:K212)</f>
        <v>103.5</v>
      </c>
      <c r="F212" s="56">
        <f>153.5-50</f>
        <v>103.5</v>
      </c>
      <c r="G212" s="57"/>
      <c r="H212" s="57"/>
      <c r="I212" s="57"/>
      <c r="J212" s="57"/>
      <c r="K212" s="57"/>
      <c r="L212" s="892"/>
      <c r="M212" s="892"/>
      <c r="N212" s="127">
        <f>E212*0.7*0.15</f>
        <v>10.867499999999998</v>
      </c>
      <c r="O212" s="83">
        <v>14</v>
      </c>
      <c r="P212" s="128">
        <f>E212/2</f>
        <v>51.75</v>
      </c>
      <c r="Q212" s="56">
        <f>SUM(R212:T212)</f>
        <v>11.4819795</v>
      </c>
      <c r="R212" s="32">
        <f>E212*0.5*0.18+N212*0.02</f>
        <v>9.53235</v>
      </c>
      <c r="S212" s="32">
        <f>(N212*0.18+(P212*12*21/1000))*0.13*0.7</f>
        <v>1.3647406499999999</v>
      </c>
      <c r="T212" s="32">
        <f>(N212*0.18+(P212*12*21/1000))*0.13*0.3</f>
        <v>0.5848888499999999</v>
      </c>
    </row>
    <row r="213" spans="1:20" ht="15">
      <c r="A213" s="866">
        <f>A207+1</f>
        <v>20</v>
      </c>
      <c r="B213" s="955" t="s">
        <v>42</v>
      </c>
      <c r="C213" s="890" t="s">
        <v>43</v>
      </c>
      <c r="D213" s="129" t="s">
        <v>570</v>
      </c>
      <c r="E213" s="57">
        <f aca="true" t="shared" si="91" ref="E213:K213">SUM(E214:E218)</f>
        <v>250</v>
      </c>
      <c r="F213" s="57">
        <f t="shared" si="91"/>
        <v>250</v>
      </c>
      <c r="G213" s="57">
        <f t="shared" si="91"/>
        <v>0</v>
      </c>
      <c r="H213" s="57">
        <f t="shared" si="91"/>
        <v>0</v>
      </c>
      <c r="I213" s="57">
        <f t="shared" si="91"/>
        <v>0</v>
      </c>
      <c r="J213" s="57">
        <f t="shared" si="91"/>
        <v>0</v>
      </c>
      <c r="K213" s="57">
        <f t="shared" si="91"/>
        <v>0</v>
      </c>
      <c r="L213" s="892" t="s">
        <v>45</v>
      </c>
      <c r="M213" s="892" t="s">
        <v>44</v>
      </c>
      <c r="N213" s="382">
        <f aca="true" t="shared" si="92" ref="N213:N218">E213*0.7*0.15</f>
        <v>26.25</v>
      </c>
      <c r="O213" s="85">
        <f aca="true" t="shared" si="93" ref="O213:T213">SUM(O214:O218)</f>
        <v>25</v>
      </c>
      <c r="P213" s="85">
        <f t="shared" si="93"/>
        <v>125</v>
      </c>
      <c r="Q213" s="85">
        <f t="shared" si="93"/>
        <v>40.1601756</v>
      </c>
      <c r="R213" s="85">
        <f t="shared" si="93"/>
        <v>32.025</v>
      </c>
      <c r="S213" s="85">
        <f t="shared" si="93"/>
        <v>7.11212292</v>
      </c>
      <c r="T213" s="85">
        <f t="shared" si="93"/>
        <v>1.0230526800000004</v>
      </c>
    </row>
    <row r="214" spans="1:20" ht="15">
      <c r="A214" s="866"/>
      <c r="B214" s="955"/>
      <c r="C214" s="890"/>
      <c r="D214" s="12">
        <v>2010</v>
      </c>
      <c r="E214" s="56">
        <f>SUM(F214:K214)</f>
        <v>50</v>
      </c>
      <c r="F214" s="56">
        <v>50</v>
      </c>
      <c r="G214" s="56"/>
      <c r="H214" s="56"/>
      <c r="I214" s="56"/>
      <c r="J214" s="56"/>
      <c r="K214" s="56"/>
      <c r="L214" s="892"/>
      <c r="M214" s="892"/>
      <c r="N214" s="127">
        <f t="shared" si="92"/>
        <v>5.25</v>
      </c>
      <c r="O214" s="128">
        <f>E214/2</f>
        <v>25</v>
      </c>
      <c r="P214" s="29">
        <f>O214</f>
        <v>25</v>
      </c>
      <c r="Q214" s="56">
        <f>SUM(R214:T214)</f>
        <v>8.03203512</v>
      </c>
      <c r="R214" s="34">
        <f>E214*0.7*0.18+N214*0.02</f>
        <v>6.405</v>
      </c>
      <c r="S214" s="101">
        <f>P214*16.344*1.07*12/1000*0.13*0.7+N214*0.18</f>
        <v>1.422424584</v>
      </c>
      <c r="T214" s="101">
        <f>P214*16.344*1.07*12/1000*0.13*0.3</f>
        <v>0.20461053600000007</v>
      </c>
    </row>
    <row r="215" spans="1:20" ht="15">
      <c r="A215" s="866"/>
      <c r="B215" s="955"/>
      <c r="C215" s="890"/>
      <c r="D215" s="12">
        <v>2011</v>
      </c>
      <c r="E215" s="56">
        <f>SUM(F215:K215)</f>
        <v>50</v>
      </c>
      <c r="F215" s="56">
        <v>50</v>
      </c>
      <c r="G215" s="56"/>
      <c r="H215" s="56"/>
      <c r="I215" s="56"/>
      <c r="J215" s="56"/>
      <c r="K215" s="56"/>
      <c r="L215" s="892"/>
      <c r="M215" s="892"/>
      <c r="N215" s="127">
        <f t="shared" si="92"/>
        <v>5.25</v>
      </c>
      <c r="O215" s="128">
        <v>0</v>
      </c>
      <c r="P215" s="29">
        <f>P214+O215</f>
        <v>25</v>
      </c>
      <c r="Q215" s="56">
        <f>SUM(R215:T215)</f>
        <v>8.03203512</v>
      </c>
      <c r="R215" s="34">
        <f>E215*0.7*0.18+N215*0.02</f>
        <v>6.405</v>
      </c>
      <c r="S215" s="101">
        <f>P215*16.344*1.07*12/1000*0.13*0.7+N215*0.18</f>
        <v>1.422424584</v>
      </c>
      <c r="T215" s="101">
        <f>P215*16.344*1.07*12/1000*0.13*0.3</f>
        <v>0.20461053600000007</v>
      </c>
    </row>
    <row r="216" spans="1:20" ht="15">
      <c r="A216" s="866"/>
      <c r="B216" s="955"/>
      <c r="C216" s="890"/>
      <c r="D216" s="12">
        <v>2012</v>
      </c>
      <c r="E216" s="56">
        <f>SUM(F216:K216)</f>
        <v>50</v>
      </c>
      <c r="F216" s="56">
        <v>50</v>
      </c>
      <c r="G216" s="56"/>
      <c r="H216" s="56"/>
      <c r="I216" s="56"/>
      <c r="J216" s="56"/>
      <c r="K216" s="56"/>
      <c r="L216" s="892"/>
      <c r="M216" s="892"/>
      <c r="N216" s="127">
        <f t="shared" si="92"/>
        <v>5.25</v>
      </c>
      <c r="O216" s="128">
        <v>0</v>
      </c>
      <c r="P216" s="29">
        <f>P215+O216</f>
        <v>25</v>
      </c>
      <c r="Q216" s="56">
        <f>SUM(R216:T216)</f>
        <v>8.03203512</v>
      </c>
      <c r="R216" s="34">
        <f>E216*0.7*0.18+N216*0.02</f>
        <v>6.405</v>
      </c>
      <c r="S216" s="101">
        <f>P216*16.344*1.07*12/1000*0.13*0.7+N216*0.18</f>
        <v>1.422424584</v>
      </c>
      <c r="T216" s="101">
        <f>P216*16.344*1.07*12/1000*0.13*0.3</f>
        <v>0.20461053600000007</v>
      </c>
    </row>
    <row r="217" spans="1:20" ht="15">
      <c r="A217" s="866"/>
      <c r="B217" s="955"/>
      <c r="C217" s="890"/>
      <c r="D217" s="6">
        <v>2013</v>
      </c>
      <c r="E217" s="56">
        <f>SUM(F217:K217)</f>
        <v>50</v>
      </c>
      <c r="F217" s="56">
        <v>50</v>
      </c>
      <c r="G217" s="58"/>
      <c r="H217" s="58"/>
      <c r="I217" s="58"/>
      <c r="J217" s="58"/>
      <c r="K217" s="58"/>
      <c r="L217" s="892"/>
      <c r="M217" s="892"/>
      <c r="N217" s="127">
        <f t="shared" si="92"/>
        <v>5.25</v>
      </c>
      <c r="O217" s="128">
        <v>0</v>
      </c>
      <c r="P217" s="29">
        <f>P216+O217</f>
        <v>25</v>
      </c>
      <c r="Q217" s="56">
        <f>SUM(R217:T217)</f>
        <v>8.03203512</v>
      </c>
      <c r="R217" s="34">
        <f>E217*0.7*0.18+N217*0.02</f>
        <v>6.405</v>
      </c>
      <c r="S217" s="101">
        <f>P217*16.344*1.07*12/1000*0.13*0.7+N217*0.18</f>
        <v>1.422424584</v>
      </c>
      <c r="T217" s="101">
        <f>P217*16.344*1.07*12/1000*0.13*0.3</f>
        <v>0.20461053600000007</v>
      </c>
    </row>
    <row r="218" spans="1:20" ht="15">
      <c r="A218" s="866"/>
      <c r="B218" s="955"/>
      <c r="C218" s="890"/>
      <c r="D218" s="6">
        <v>2014</v>
      </c>
      <c r="E218" s="56">
        <f>SUM(F218:K218)</f>
        <v>50</v>
      </c>
      <c r="F218" s="56">
        <v>50</v>
      </c>
      <c r="G218" s="58"/>
      <c r="H218" s="58"/>
      <c r="I218" s="58"/>
      <c r="J218" s="58"/>
      <c r="K218" s="58"/>
      <c r="L218" s="892"/>
      <c r="M218" s="892"/>
      <c r="N218" s="127">
        <f t="shared" si="92"/>
        <v>5.25</v>
      </c>
      <c r="O218" s="128">
        <v>0</v>
      </c>
      <c r="P218" s="29">
        <f>P217+O218</f>
        <v>25</v>
      </c>
      <c r="Q218" s="56">
        <f>SUM(R218:T218)</f>
        <v>8.03203512</v>
      </c>
      <c r="R218" s="34">
        <f>E218*0.7*0.18+N218*0.02</f>
        <v>6.405</v>
      </c>
      <c r="S218" s="101">
        <f>P218*16.344*1.07*12/1000*0.13*0.7+N218*0.18</f>
        <v>1.422424584</v>
      </c>
      <c r="T218" s="101">
        <f>P218*16.344*1.07*12/1000*0.13*0.3</f>
        <v>0.20461053600000007</v>
      </c>
    </row>
    <row r="219" spans="1:20" ht="15">
      <c r="A219" s="881" t="s">
        <v>186</v>
      </c>
      <c r="B219" s="881"/>
      <c r="C219" s="881"/>
      <c r="D219" s="881"/>
      <c r="E219" s="881"/>
      <c r="F219" s="881"/>
      <c r="G219" s="881"/>
      <c r="H219" s="881"/>
      <c r="I219" s="881"/>
      <c r="J219" s="881"/>
      <c r="K219" s="881"/>
      <c r="L219" s="881"/>
      <c r="M219" s="881"/>
      <c r="N219" s="881"/>
      <c r="O219" s="881"/>
      <c r="P219" s="881"/>
      <c r="Q219" s="881"/>
      <c r="R219" s="881"/>
      <c r="S219" s="881"/>
      <c r="T219" s="881"/>
    </row>
    <row r="220" spans="1:20" ht="15">
      <c r="A220" s="884"/>
      <c r="B220" s="885" t="s">
        <v>647</v>
      </c>
      <c r="C220" s="885"/>
      <c r="D220" s="37">
        <v>2010</v>
      </c>
      <c r="E220" s="61">
        <f>E227+E233+E239+E245</f>
        <v>3.5199999999999996</v>
      </c>
      <c r="F220" s="61">
        <f aca="true" t="shared" si="94" ref="F220:K222">F227+F233+F239+F245</f>
        <v>0</v>
      </c>
      <c r="G220" s="61">
        <f t="shared" si="94"/>
        <v>0</v>
      </c>
      <c r="H220" s="61">
        <f t="shared" si="94"/>
        <v>0.8</v>
      </c>
      <c r="I220" s="61">
        <f t="shared" si="94"/>
        <v>2.7199999999999998</v>
      </c>
      <c r="J220" s="61">
        <f t="shared" si="94"/>
        <v>0</v>
      </c>
      <c r="K220" s="61">
        <f t="shared" si="94"/>
        <v>0</v>
      </c>
      <c r="L220" s="886"/>
      <c r="M220" s="886"/>
      <c r="N220" s="61">
        <f aca="true" t="shared" si="95" ref="N220:T224">N227+N233+N239+N245</f>
        <v>0.36959999999999993</v>
      </c>
      <c r="O220" s="89">
        <f t="shared" si="95"/>
        <v>1.7599999999999998</v>
      </c>
      <c r="P220" s="61"/>
      <c r="Q220" s="61">
        <f t="shared" si="95"/>
        <v>0.39049823999999994</v>
      </c>
      <c r="R220" s="61">
        <f t="shared" si="95"/>
        <v>0.324192</v>
      </c>
      <c r="S220" s="61">
        <f t="shared" si="95"/>
        <v>0.046414368</v>
      </c>
      <c r="T220" s="61">
        <f t="shared" si="95"/>
        <v>0.019891871999999998</v>
      </c>
    </row>
    <row r="221" spans="1:20" ht="15">
      <c r="A221" s="884"/>
      <c r="B221" s="885"/>
      <c r="C221" s="885"/>
      <c r="D221" s="37">
        <v>2011</v>
      </c>
      <c r="E221" s="61">
        <f>E228+E234+E240+E246</f>
        <v>6.94</v>
      </c>
      <c r="F221" s="61">
        <f t="shared" si="94"/>
        <v>0</v>
      </c>
      <c r="G221" s="61">
        <f t="shared" si="94"/>
        <v>0</v>
      </c>
      <c r="H221" s="61">
        <f t="shared" si="94"/>
        <v>3.67</v>
      </c>
      <c r="I221" s="61">
        <f>I228+I234+I240+I246</f>
        <v>3.27</v>
      </c>
      <c r="J221" s="61">
        <f t="shared" si="94"/>
        <v>0</v>
      </c>
      <c r="K221" s="61">
        <f t="shared" si="94"/>
        <v>0</v>
      </c>
      <c r="L221" s="886"/>
      <c r="M221" s="886"/>
      <c r="N221" s="61">
        <f t="shared" si="95"/>
        <v>0.7286999999999999</v>
      </c>
      <c r="O221" s="89">
        <f t="shared" si="95"/>
        <v>3.47</v>
      </c>
      <c r="P221" s="61"/>
      <c r="Q221" s="61">
        <f t="shared" si="95"/>
        <v>0.76990278</v>
      </c>
      <c r="R221" s="61">
        <f t="shared" si="95"/>
        <v>0.639174</v>
      </c>
      <c r="S221" s="61">
        <f t="shared" si="95"/>
        <v>0.091510146</v>
      </c>
      <c r="T221" s="61">
        <f t="shared" si="95"/>
        <v>0.039218634</v>
      </c>
    </row>
    <row r="222" spans="1:20" ht="15">
      <c r="A222" s="884"/>
      <c r="B222" s="885"/>
      <c r="C222" s="885"/>
      <c r="D222" s="22">
        <v>2012</v>
      </c>
      <c r="E222" s="61">
        <f>E229+E235+E241+E247</f>
        <v>7.24</v>
      </c>
      <c r="F222" s="61">
        <f t="shared" si="94"/>
        <v>0</v>
      </c>
      <c r="G222" s="61">
        <f t="shared" si="94"/>
        <v>0</v>
      </c>
      <c r="H222" s="61">
        <f t="shared" si="94"/>
        <v>3.97</v>
      </c>
      <c r="I222" s="61">
        <f t="shared" si="94"/>
        <v>3.27</v>
      </c>
      <c r="J222" s="61">
        <f t="shared" si="94"/>
        <v>0</v>
      </c>
      <c r="K222" s="61">
        <f t="shared" si="94"/>
        <v>0</v>
      </c>
      <c r="L222" s="886"/>
      <c r="M222" s="886"/>
      <c r="N222" s="61">
        <f t="shared" si="95"/>
        <v>0.7601999999999999</v>
      </c>
      <c r="O222" s="89">
        <f t="shared" si="95"/>
        <v>3.62</v>
      </c>
      <c r="P222" s="61"/>
      <c r="Q222" s="61">
        <f t="shared" si="95"/>
        <v>0.80318388</v>
      </c>
      <c r="R222" s="61">
        <f t="shared" si="95"/>
        <v>0.666804</v>
      </c>
      <c r="S222" s="61">
        <f t="shared" si="95"/>
        <v>0.095465916</v>
      </c>
      <c r="T222" s="61">
        <f t="shared" si="95"/>
        <v>0.040913964</v>
      </c>
    </row>
    <row r="223" spans="1:20" ht="15">
      <c r="A223" s="884"/>
      <c r="B223" s="885"/>
      <c r="C223" s="885"/>
      <c r="D223" s="22">
        <v>2013</v>
      </c>
      <c r="E223" s="61">
        <f aca="true" t="shared" si="96" ref="E223:K224">E230+E236+E242+E248</f>
        <v>7.140000000000001</v>
      </c>
      <c r="F223" s="61">
        <f t="shared" si="96"/>
        <v>0</v>
      </c>
      <c r="G223" s="61">
        <f t="shared" si="96"/>
        <v>0</v>
      </c>
      <c r="H223" s="61">
        <f t="shared" si="96"/>
        <v>3.87</v>
      </c>
      <c r="I223" s="61">
        <f t="shared" si="96"/>
        <v>3.27</v>
      </c>
      <c r="J223" s="61">
        <f t="shared" si="96"/>
        <v>0</v>
      </c>
      <c r="K223" s="61">
        <f t="shared" si="96"/>
        <v>0</v>
      </c>
      <c r="L223" s="886"/>
      <c r="M223" s="886"/>
      <c r="N223" s="61">
        <f t="shared" si="95"/>
        <v>0.7496999999999999</v>
      </c>
      <c r="O223" s="89">
        <f t="shared" si="95"/>
        <v>3.5700000000000003</v>
      </c>
      <c r="P223" s="61"/>
      <c r="Q223" s="61">
        <f t="shared" si="95"/>
        <v>0.79209018</v>
      </c>
      <c r="R223" s="61">
        <f t="shared" si="95"/>
        <v>0.657594</v>
      </c>
      <c r="S223" s="61">
        <f t="shared" si="95"/>
        <v>0.094147326</v>
      </c>
      <c r="T223" s="61">
        <f t="shared" si="95"/>
        <v>0.040348854</v>
      </c>
    </row>
    <row r="224" spans="1:20" ht="15">
      <c r="A224" s="884"/>
      <c r="B224" s="885"/>
      <c r="C224" s="885"/>
      <c r="D224" s="22">
        <v>2014</v>
      </c>
      <c r="E224" s="61">
        <f t="shared" si="96"/>
        <v>3.24</v>
      </c>
      <c r="F224" s="61">
        <f t="shared" si="96"/>
        <v>0</v>
      </c>
      <c r="G224" s="61">
        <f t="shared" si="96"/>
        <v>0</v>
      </c>
      <c r="H224" s="61">
        <f t="shared" si="96"/>
        <v>1.82</v>
      </c>
      <c r="I224" s="61">
        <f t="shared" si="96"/>
        <v>1.42</v>
      </c>
      <c r="J224" s="61">
        <f t="shared" si="96"/>
        <v>0</v>
      </c>
      <c r="K224" s="61">
        <f t="shared" si="96"/>
        <v>0</v>
      </c>
      <c r="L224" s="886"/>
      <c r="M224" s="886"/>
      <c r="N224" s="61">
        <f t="shared" si="95"/>
        <v>0.34019999999999995</v>
      </c>
      <c r="O224" s="89">
        <f t="shared" si="95"/>
        <v>1.62</v>
      </c>
      <c r="P224" s="61"/>
      <c r="Q224" s="61">
        <f t="shared" si="95"/>
        <v>0.35943588</v>
      </c>
      <c r="R224" s="61">
        <f t="shared" si="95"/>
        <v>0.298404</v>
      </c>
      <c r="S224" s="61">
        <f t="shared" si="95"/>
        <v>0.042722315999999996</v>
      </c>
      <c r="T224" s="61">
        <f t="shared" si="95"/>
        <v>0.018309564</v>
      </c>
    </row>
    <row r="225" spans="1:20" ht="15">
      <c r="A225" s="884"/>
      <c r="B225" s="885"/>
      <c r="C225" s="885"/>
      <c r="D225" s="22" t="s">
        <v>378</v>
      </c>
      <c r="E225" s="61">
        <f aca="true" t="shared" si="97" ref="E225:K225">SUM(E220:E224)</f>
        <v>28.080000000000005</v>
      </c>
      <c r="F225" s="61">
        <f t="shared" si="97"/>
        <v>0</v>
      </c>
      <c r="G225" s="61">
        <f t="shared" si="97"/>
        <v>0</v>
      </c>
      <c r="H225" s="61">
        <f t="shared" si="97"/>
        <v>14.129999999999999</v>
      </c>
      <c r="I225" s="61">
        <f t="shared" si="97"/>
        <v>13.95</v>
      </c>
      <c r="J225" s="61">
        <f t="shared" si="97"/>
        <v>0</v>
      </c>
      <c r="K225" s="61">
        <f t="shared" si="97"/>
        <v>0</v>
      </c>
      <c r="L225" s="886"/>
      <c r="M225" s="886"/>
      <c r="N225" s="61">
        <f aca="true" t="shared" si="98" ref="N225:T225">SUM(N220:N224)</f>
        <v>2.9483999999999995</v>
      </c>
      <c r="O225" s="89">
        <f t="shared" si="98"/>
        <v>14.040000000000003</v>
      </c>
      <c r="P225" s="61"/>
      <c r="Q225" s="61">
        <f t="shared" si="98"/>
        <v>3.1151109599999995</v>
      </c>
      <c r="R225" s="61">
        <f t="shared" si="98"/>
        <v>2.5861680000000002</v>
      </c>
      <c r="S225" s="61">
        <f t="shared" si="98"/>
        <v>0.370260072</v>
      </c>
      <c r="T225" s="61">
        <f t="shared" si="98"/>
        <v>0.15868288800000002</v>
      </c>
    </row>
    <row r="226" spans="1:20" ht="15">
      <c r="A226" s="866">
        <f>A213+1</f>
        <v>21</v>
      </c>
      <c r="B226" s="867" t="s">
        <v>650</v>
      </c>
      <c r="C226" s="868"/>
      <c r="D226" s="129" t="s">
        <v>570</v>
      </c>
      <c r="E226" s="57">
        <f>SUM(E227:E231)</f>
        <v>2.1999999999999997</v>
      </c>
      <c r="F226" s="57">
        <f aca="true" t="shared" si="99" ref="F226:K226">SUM(F227:F231)</f>
        <v>0</v>
      </c>
      <c r="G226" s="57">
        <f t="shared" si="99"/>
        <v>0</v>
      </c>
      <c r="H226" s="57">
        <f t="shared" si="99"/>
        <v>0.7</v>
      </c>
      <c r="I226" s="57">
        <v>1.5</v>
      </c>
      <c r="J226" s="57">
        <f t="shared" si="99"/>
        <v>0</v>
      </c>
      <c r="K226" s="57">
        <f t="shared" si="99"/>
        <v>0</v>
      </c>
      <c r="L226" s="892" t="s">
        <v>782</v>
      </c>
      <c r="M226" s="891" t="s">
        <v>783</v>
      </c>
      <c r="N226" s="379">
        <f aca="true" t="shared" si="100" ref="N226:T226">SUM(N227:N231)</f>
        <v>0.23099999999999998</v>
      </c>
      <c r="O226" s="380">
        <f t="shared" si="100"/>
        <v>1.0999999999999999</v>
      </c>
      <c r="P226" s="380"/>
      <c r="Q226" s="379">
        <f t="shared" si="100"/>
        <v>0.2440614</v>
      </c>
      <c r="R226" s="379">
        <f t="shared" si="100"/>
        <v>0.20262</v>
      </c>
      <c r="S226" s="379">
        <f t="shared" si="100"/>
        <v>0.02900898</v>
      </c>
      <c r="T226" s="379">
        <f t="shared" si="100"/>
        <v>0.01243242</v>
      </c>
    </row>
    <row r="227" spans="1:20" ht="15">
      <c r="A227" s="866"/>
      <c r="B227" s="867"/>
      <c r="C227" s="868"/>
      <c r="D227" s="10">
        <v>2010</v>
      </c>
      <c r="E227" s="56">
        <f aca="true" t="shared" si="101" ref="E227:E248">SUM(F227:K227)</f>
        <v>0.3</v>
      </c>
      <c r="F227" s="56"/>
      <c r="G227" s="56"/>
      <c r="H227" s="56">
        <v>0</v>
      </c>
      <c r="I227" s="56">
        <v>0.3</v>
      </c>
      <c r="J227" s="56"/>
      <c r="K227" s="56"/>
      <c r="L227" s="892"/>
      <c r="M227" s="891"/>
      <c r="N227" s="99">
        <f>E227*0.7*0.15</f>
        <v>0.0315</v>
      </c>
      <c r="O227" s="100">
        <f>E227/2</f>
        <v>0.15</v>
      </c>
      <c r="P227" s="100"/>
      <c r="Q227" s="58">
        <f>SUM(R227:T227)</f>
        <v>0.0332811</v>
      </c>
      <c r="R227" s="34">
        <f>E227*0.5*0.18+N227*0.02</f>
        <v>0.02763</v>
      </c>
      <c r="S227" s="34">
        <f>(N227*0.18+(O227*12*21/1000))*0.13*0.7</f>
        <v>0.00395577</v>
      </c>
      <c r="T227" s="34">
        <f>(N227*0.18+(O227*12*21/1000))*0.13*0.3</f>
        <v>0.0016953299999999999</v>
      </c>
    </row>
    <row r="228" spans="1:20" ht="15">
      <c r="A228" s="866"/>
      <c r="B228" s="867"/>
      <c r="C228" s="868"/>
      <c r="D228" s="10">
        <v>2011</v>
      </c>
      <c r="E228" s="56">
        <f t="shared" si="101"/>
        <v>0.5</v>
      </c>
      <c r="F228" s="56"/>
      <c r="G228" s="56"/>
      <c r="H228" s="56">
        <v>0.2</v>
      </c>
      <c r="I228" s="56">
        <v>0.3</v>
      </c>
      <c r="J228" s="56"/>
      <c r="K228" s="56"/>
      <c r="L228" s="892"/>
      <c r="M228" s="891"/>
      <c r="N228" s="99">
        <f>E228*0.7*0.15</f>
        <v>0.0525</v>
      </c>
      <c r="O228" s="100">
        <f>E228/2</f>
        <v>0.25</v>
      </c>
      <c r="P228" s="100"/>
      <c r="Q228" s="58">
        <f>SUM(R228:T228)</f>
        <v>0.055468500000000004</v>
      </c>
      <c r="R228" s="34">
        <f>E228*0.5*0.18+N228*0.02</f>
        <v>0.04605</v>
      </c>
      <c r="S228" s="34">
        <f>(N228*0.18+(O228*12*21/1000))*0.13*0.7</f>
        <v>0.006592949999999999</v>
      </c>
      <c r="T228" s="34">
        <f>(N228*0.18+(O228*12*21/1000))*0.13*0.3</f>
        <v>0.00282555</v>
      </c>
    </row>
    <row r="229" spans="1:20" ht="15">
      <c r="A229" s="866"/>
      <c r="B229" s="867"/>
      <c r="C229" s="868"/>
      <c r="D229" s="9">
        <v>2012</v>
      </c>
      <c r="E229" s="56">
        <f t="shared" si="101"/>
        <v>0.6</v>
      </c>
      <c r="F229" s="56"/>
      <c r="G229" s="58"/>
      <c r="H229" s="56">
        <v>0.3</v>
      </c>
      <c r="I229" s="56">
        <v>0.3</v>
      </c>
      <c r="J229" s="58"/>
      <c r="K229" s="58"/>
      <c r="L229" s="892"/>
      <c r="M229" s="891"/>
      <c r="N229" s="99">
        <f>E229*0.7*0.15</f>
        <v>0.063</v>
      </c>
      <c r="O229" s="100">
        <f>E229/2</f>
        <v>0.3</v>
      </c>
      <c r="P229" s="100"/>
      <c r="Q229" s="58">
        <f>SUM(R229:T229)</f>
        <v>0.0665622</v>
      </c>
      <c r="R229" s="34">
        <f>E229*0.5*0.18+N229*0.02</f>
        <v>0.05526</v>
      </c>
      <c r="S229" s="34">
        <f>(N229*0.18+(O229*12*21/1000))*0.13*0.7</f>
        <v>0.00791154</v>
      </c>
      <c r="T229" s="34">
        <f>(N229*0.18+(O229*12*21/1000))*0.13*0.3</f>
        <v>0.0033906599999999998</v>
      </c>
    </row>
    <row r="230" spans="1:20" ht="15">
      <c r="A230" s="866"/>
      <c r="B230" s="867"/>
      <c r="C230" s="868"/>
      <c r="D230" s="9">
        <v>2013</v>
      </c>
      <c r="E230" s="56">
        <f t="shared" si="101"/>
        <v>0.5</v>
      </c>
      <c r="F230" s="56"/>
      <c r="G230" s="58"/>
      <c r="H230" s="56">
        <v>0.2</v>
      </c>
      <c r="I230" s="56">
        <v>0.3</v>
      </c>
      <c r="J230" s="58"/>
      <c r="K230" s="58"/>
      <c r="L230" s="892"/>
      <c r="M230" s="891"/>
      <c r="N230" s="99">
        <f>E230*0.7*0.15</f>
        <v>0.0525</v>
      </c>
      <c r="O230" s="100">
        <f>E230/2</f>
        <v>0.25</v>
      </c>
      <c r="P230" s="100"/>
      <c r="Q230" s="58">
        <f>SUM(R230:T230)</f>
        <v>0.055468500000000004</v>
      </c>
      <c r="R230" s="34">
        <f>E230*0.5*0.18+N230*0.02</f>
        <v>0.04605</v>
      </c>
      <c r="S230" s="34">
        <f>(N230*0.18+(O230*12*21/1000))*0.13*0.7</f>
        <v>0.006592949999999999</v>
      </c>
      <c r="T230" s="34">
        <f>(N230*0.18+(O230*12*21/1000))*0.13*0.3</f>
        <v>0.00282555</v>
      </c>
    </row>
    <row r="231" spans="1:20" ht="15">
      <c r="A231" s="866"/>
      <c r="B231" s="867"/>
      <c r="C231" s="868"/>
      <c r="D231" s="9">
        <v>2014</v>
      </c>
      <c r="E231" s="56">
        <f t="shared" si="101"/>
        <v>0.3</v>
      </c>
      <c r="F231" s="56"/>
      <c r="G231" s="58"/>
      <c r="H231" s="56">
        <v>0</v>
      </c>
      <c r="I231" s="56">
        <v>0.3</v>
      </c>
      <c r="J231" s="58"/>
      <c r="K231" s="58"/>
      <c r="L231" s="892"/>
      <c r="M231" s="891"/>
      <c r="N231" s="99">
        <f>E231*0.7*0.15</f>
        <v>0.0315</v>
      </c>
      <c r="O231" s="100">
        <f>E231/2</f>
        <v>0.15</v>
      </c>
      <c r="P231" s="100"/>
      <c r="Q231" s="58">
        <f>SUM(R231:T231)</f>
        <v>0.0332811</v>
      </c>
      <c r="R231" s="34">
        <f>E231*0.5*0.18+N231*0.02</f>
        <v>0.02763</v>
      </c>
      <c r="S231" s="34">
        <f>(N231*0.18+(O231*12*21/1000))*0.13*0.7</f>
        <v>0.00395577</v>
      </c>
      <c r="T231" s="34">
        <f>(N231*0.18+(O231*12*21/1000))*0.13*0.3</f>
        <v>0.0016953299999999999</v>
      </c>
    </row>
    <row r="232" spans="1:20" ht="15">
      <c r="A232" s="866">
        <f>A226+1</f>
        <v>22</v>
      </c>
      <c r="B232" s="867" t="s">
        <v>652</v>
      </c>
      <c r="C232" s="954"/>
      <c r="D232" s="129" t="s">
        <v>570</v>
      </c>
      <c r="E232" s="57">
        <f aca="true" t="shared" si="102" ref="E232:K232">SUM(E233:E237)</f>
        <v>5.5</v>
      </c>
      <c r="F232" s="57">
        <f t="shared" si="102"/>
        <v>0</v>
      </c>
      <c r="G232" s="57">
        <f t="shared" si="102"/>
        <v>0</v>
      </c>
      <c r="H232" s="57">
        <f t="shared" si="102"/>
        <v>2</v>
      </c>
      <c r="I232" s="57">
        <f>SUM(I233:I237)</f>
        <v>3.5</v>
      </c>
      <c r="J232" s="57">
        <f t="shared" si="102"/>
        <v>0</v>
      </c>
      <c r="K232" s="57">
        <f t="shared" si="102"/>
        <v>0</v>
      </c>
      <c r="L232" s="892" t="s">
        <v>782</v>
      </c>
      <c r="M232" s="892"/>
      <c r="N232" s="379">
        <f aca="true" t="shared" si="103" ref="N232:T232">SUM(N233:N237)</f>
        <v>0.5774999999999999</v>
      </c>
      <c r="O232" s="380">
        <f t="shared" si="103"/>
        <v>2.75</v>
      </c>
      <c r="P232" s="380"/>
      <c r="Q232" s="379">
        <f t="shared" si="103"/>
        <v>0.6101535</v>
      </c>
      <c r="R232" s="379">
        <f t="shared" si="103"/>
        <v>0.50655</v>
      </c>
      <c r="S232" s="379">
        <f t="shared" si="103"/>
        <v>0.07252245</v>
      </c>
      <c r="T232" s="379">
        <f t="shared" si="103"/>
        <v>0.03108105</v>
      </c>
    </row>
    <row r="233" spans="1:20" ht="15">
      <c r="A233" s="866"/>
      <c r="B233" s="867"/>
      <c r="C233" s="954"/>
      <c r="D233" s="10">
        <v>2010</v>
      </c>
      <c r="E233" s="56">
        <f t="shared" si="101"/>
        <v>1.7</v>
      </c>
      <c r="F233" s="58"/>
      <c r="G233" s="58"/>
      <c r="H233" s="58">
        <v>0.2</v>
      </c>
      <c r="I233" s="58">
        <v>1.5</v>
      </c>
      <c r="J233" s="58"/>
      <c r="K233" s="58"/>
      <c r="L233" s="892"/>
      <c r="M233" s="892"/>
      <c r="N233" s="99">
        <f>E233*0.7*0.15</f>
        <v>0.1785</v>
      </c>
      <c r="O233" s="100">
        <f>E233/2</f>
        <v>0.85</v>
      </c>
      <c r="P233" s="100"/>
      <c r="Q233" s="58">
        <f>SUM(R233:T233)</f>
        <v>0.18859289999999998</v>
      </c>
      <c r="R233" s="34">
        <f>E233*0.5*0.18+N233*0.02</f>
        <v>0.15657</v>
      </c>
      <c r="S233" s="34">
        <f>(N233*0.18+(O233*12*21/1000))*0.13*0.7</f>
        <v>0.02241603</v>
      </c>
      <c r="T233" s="34">
        <f>(N233*0.18+(O233*12*21/1000))*0.13*0.3</f>
        <v>0.00960687</v>
      </c>
    </row>
    <row r="234" spans="1:20" ht="15">
      <c r="A234" s="866"/>
      <c r="B234" s="867"/>
      <c r="C234" s="954"/>
      <c r="D234" s="10">
        <v>2011</v>
      </c>
      <c r="E234" s="56">
        <f t="shared" si="101"/>
        <v>0.8</v>
      </c>
      <c r="F234" s="58"/>
      <c r="G234" s="58"/>
      <c r="H234" s="58">
        <v>0.3</v>
      </c>
      <c r="I234" s="58">
        <v>0.5</v>
      </c>
      <c r="J234" s="58"/>
      <c r="K234" s="58"/>
      <c r="L234" s="892"/>
      <c r="M234" s="892"/>
      <c r="N234" s="99">
        <f>E234*0.7*0.15</f>
        <v>0.08399999999999999</v>
      </c>
      <c r="O234" s="100">
        <f>E234/2</f>
        <v>0.4</v>
      </c>
      <c r="P234" s="100"/>
      <c r="Q234" s="58">
        <f>SUM(R234:T234)</f>
        <v>0.0887496</v>
      </c>
      <c r="R234" s="34">
        <f>E234*0.5*0.18+N234*0.02</f>
        <v>0.07368</v>
      </c>
      <c r="S234" s="34">
        <f>(N234*0.18+(O234*12*21/1000))*0.13*0.7</f>
        <v>0.010548720000000001</v>
      </c>
      <c r="T234" s="34">
        <f>(N234*0.18+(O234*12*21/1000))*0.13*0.3</f>
        <v>0.0045208800000000006</v>
      </c>
    </row>
    <row r="235" spans="1:20" ht="15">
      <c r="A235" s="866"/>
      <c r="B235" s="867"/>
      <c r="C235" s="954"/>
      <c r="D235" s="9">
        <v>2012</v>
      </c>
      <c r="E235" s="56">
        <f t="shared" si="101"/>
        <v>1</v>
      </c>
      <c r="F235" s="56"/>
      <c r="G235" s="56"/>
      <c r="H235" s="58">
        <v>0.5</v>
      </c>
      <c r="I235" s="56">
        <v>0.5</v>
      </c>
      <c r="J235" s="56"/>
      <c r="K235" s="56"/>
      <c r="L235" s="892"/>
      <c r="M235" s="892"/>
      <c r="N235" s="99">
        <f>E235*0.7*0.15</f>
        <v>0.105</v>
      </c>
      <c r="O235" s="100">
        <f>E235/2</f>
        <v>0.5</v>
      </c>
      <c r="P235" s="100"/>
      <c r="Q235" s="58">
        <f>SUM(R235:T235)</f>
        <v>0.11093700000000001</v>
      </c>
      <c r="R235" s="34">
        <f>E235*0.5*0.18+N235*0.02</f>
        <v>0.0921</v>
      </c>
      <c r="S235" s="34">
        <f>(N235*0.18+(O235*12*21/1000))*0.13*0.7</f>
        <v>0.013185899999999999</v>
      </c>
      <c r="T235" s="34">
        <f>(N235*0.18+(O235*12*21/1000))*0.13*0.3</f>
        <v>0.0056511</v>
      </c>
    </row>
    <row r="236" spans="1:20" ht="15">
      <c r="A236" s="866"/>
      <c r="B236" s="867"/>
      <c r="C236" s="954"/>
      <c r="D236" s="9">
        <v>2013</v>
      </c>
      <c r="E236" s="56">
        <f t="shared" si="101"/>
        <v>1</v>
      </c>
      <c r="F236" s="56"/>
      <c r="G236" s="56"/>
      <c r="H236" s="58">
        <v>0.5</v>
      </c>
      <c r="I236" s="56">
        <v>0.5</v>
      </c>
      <c r="J236" s="56"/>
      <c r="K236" s="56"/>
      <c r="L236" s="892"/>
      <c r="M236" s="892"/>
      <c r="N236" s="99">
        <f>E236*0.7*0.15</f>
        <v>0.105</v>
      </c>
      <c r="O236" s="100">
        <f>E236/2</f>
        <v>0.5</v>
      </c>
      <c r="P236" s="100"/>
      <c r="Q236" s="58">
        <f>SUM(R236:T236)</f>
        <v>0.11093700000000001</v>
      </c>
      <c r="R236" s="34">
        <f>E236*0.5*0.18+N236*0.02</f>
        <v>0.0921</v>
      </c>
      <c r="S236" s="34">
        <f>(N236*0.18+(O236*12*21/1000))*0.13*0.7</f>
        <v>0.013185899999999999</v>
      </c>
      <c r="T236" s="34">
        <f>(N236*0.18+(O236*12*21/1000))*0.13*0.3</f>
        <v>0.0056511</v>
      </c>
    </row>
    <row r="237" spans="1:20" ht="15">
      <c r="A237" s="866"/>
      <c r="B237" s="867"/>
      <c r="C237" s="954"/>
      <c r="D237" s="8">
        <v>2014</v>
      </c>
      <c r="E237" s="56">
        <f t="shared" si="101"/>
        <v>1</v>
      </c>
      <c r="F237" s="56"/>
      <c r="G237" s="56"/>
      <c r="H237" s="58">
        <v>0.5</v>
      </c>
      <c r="I237" s="56">
        <v>0.5</v>
      </c>
      <c r="J237" s="56"/>
      <c r="K237" s="56"/>
      <c r="L237" s="892"/>
      <c r="M237" s="892"/>
      <c r="N237" s="99">
        <f>E237*0.7*0.15</f>
        <v>0.105</v>
      </c>
      <c r="O237" s="100">
        <f>E237/2</f>
        <v>0.5</v>
      </c>
      <c r="P237" s="100"/>
      <c r="Q237" s="58">
        <f>SUM(R237:T237)</f>
        <v>0.11093700000000001</v>
      </c>
      <c r="R237" s="34">
        <f>E237*0.5*0.18+N237*0.02</f>
        <v>0.0921</v>
      </c>
      <c r="S237" s="34">
        <f>(N237*0.18+(O237*12*21/1000))*0.13*0.7</f>
        <v>0.013185899999999999</v>
      </c>
      <c r="T237" s="34">
        <f>(N237*0.18+(O237*12*21/1000))*0.13*0.3</f>
        <v>0.0056511</v>
      </c>
    </row>
    <row r="238" spans="1:20" ht="15">
      <c r="A238" s="866">
        <f>A232+1</f>
        <v>23</v>
      </c>
      <c r="B238" s="951" t="s">
        <v>651</v>
      </c>
      <c r="C238" s="952"/>
      <c r="D238" s="129" t="s">
        <v>570</v>
      </c>
      <c r="E238" s="57">
        <v>8.96</v>
      </c>
      <c r="F238" s="57">
        <f aca="true" t="shared" si="104" ref="F238:K238">SUM(F239:F243)</f>
        <v>0</v>
      </c>
      <c r="G238" s="57">
        <f t="shared" si="104"/>
        <v>0</v>
      </c>
      <c r="H238" s="57">
        <v>5.9</v>
      </c>
      <c r="I238" s="57">
        <v>3.1</v>
      </c>
      <c r="J238" s="57">
        <f t="shared" si="104"/>
        <v>0</v>
      </c>
      <c r="K238" s="57">
        <f t="shared" si="104"/>
        <v>0</v>
      </c>
      <c r="L238" s="892" t="s">
        <v>782</v>
      </c>
      <c r="M238" s="892" t="s">
        <v>784</v>
      </c>
      <c r="N238" s="379">
        <f aca="true" t="shared" si="105" ref="N238:T238">SUM(N239:N243)</f>
        <v>0.9429</v>
      </c>
      <c r="O238" s="380">
        <f t="shared" si="105"/>
        <v>4.489999999999999</v>
      </c>
      <c r="P238" s="380"/>
      <c r="Q238" s="379">
        <f t="shared" si="105"/>
        <v>0.9962142599999997</v>
      </c>
      <c r="R238" s="379">
        <f t="shared" si="105"/>
        <v>0.827058</v>
      </c>
      <c r="S238" s="379">
        <f t="shared" si="105"/>
        <v>0.118409382</v>
      </c>
      <c r="T238" s="379">
        <f t="shared" si="105"/>
        <v>0.050746877999999995</v>
      </c>
    </row>
    <row r="239" spans="1:20" ht="15">
      <c r="A239" s="866"/>
      <c r="B239" s="951"/>
      <c r="C239" s="953"/>
      <c r="D239" s="10">
        <v>2010</v>
      </c>
      <c r="E239" s="56">
        <f t="shared" si="101"/>
        <v>1.22</v>
      </c>
      <c r="F239" s="57"/>
      <c r="G239" s="57"/>
      <c r="H239" s="56">
        <v>0.6</v>
      </c>
      <c r="I239" s="56">
        <v>0.62</v>
      </c>
      <c r="J239" s="57"/>
      <c r="K239" s="57"/>
      <c r="L239" s="892"/>
      <c r="M239" s="892"/>
      <c r="N239" s="99">
        <f>E239*0.7*0.15</f>
        <v>0.1281</v>
      </c>
      <c r="O239" s="100">
        <f>E239/2</f>
        <v>0.61</v>
      </c>
      <c r="P239" s="100"/>
      <c r="Q239" s="58">
        <f>SUM(R239:T239)</f>
        <v>0.13534313999999997</v>
      </c>
      <c r="R239" s="34">
        <f>E239*0.5*0.18+N239*0.02</f>
        <v>0.11236199999999999</v>
      </c>
      <c r="S239" s="34">
        <f>(N239*0.18+(O239*12*21/1000))*0.13*0.7</f>
        <v>0.016086798</v>
      </c>
      <c r="T239" s="34">
        <f>(N239*0.18+(O239*12*21/1000))*0.13*0.3</f>
        <v>0.006894342</v>
      </c>
    </row>
    <row r="240" spans="1:20" ht="15">
      <c r="A240" s="866"/>
      <c r="B240" s="951"/>
      <c r="C240" s="953"/>
      <c r="D240" s="10">
        <v>2011</v>
      </c>
      <c r="E240" s="56">
        <f t="shared" si="101"/>
        <v>1.94</v>
      </c>
      <c r="F240" s="57"/>
      <c r="G240" s="57"/>
      <c r="H240" s="56">
        <v>1.32</v>
      </c>
      <c r="I240" s="56">
        <v>0.62</v>
      </c>
      <c r="J240" s="57"/>
      <c r="K240" s="57"/>
      <c r="L240" s="892"/>
      <c r="M240" s="892"/>
      <c r="N240" s="99">
        <f>E240*0.7*0.15</f>
        <v>0.20369999999999996</v>
      </c>
      <c r="O240" s="100">
        <f>E240/2</f>
        <v>0.97</v>
      </c>
      <c r="P240" s="100"/>
      <c r="Q240" s="58">
        <f>SUM(R240:T240)</f>
        <v>0.21521777999999997</v>
      </c>
      <c r="R240" s="34">
        <f>E240*0.5*0.18+N240*0.02</f>
        <v>0.17867399999999997</v>
      </c>
      <c r="S240" s="34">
        <f>(N240*0.18+(O240*12*21/1000))*0.13*0.7</f>
        <v>0.025580646</v>
      </c>
      <c r="T240" s="34">
        <f>(N240*0.18+(O240*12*21/1000))*0.13*0.3</f>
        <v>0.010963134</v>
      </c>
    </row>
    <row r="241" spans="1:20" ht="15">
      <c r="A241" s="866"/>
      <c r="B241" s="951"/>
      <c r="C241" s="953"/>
      <c r="D241" s="9">
        <v>2012</v>
      </c>
      <c r="E241" s="56">
        <f t="shared" si="101"/>
        <v>1.94</v>
      </c>
      <c r="F241" s="57"/>
      <c r="G241" s="57"/>
      <c r="H241" s="56">
        <v>1.32</v>
      </c>
      <c r="I241" s="56">
        <v>0.62</v>
      </c>
      <c r="J241" s="57"/>
      <c r="K241" s="57"/>
      <c r="L241" s="892"/>
      <c r="M241" s="892"/>
      <c r="N241" s="99">
        <f>E241*0.7*0.15</f>
        <v>0.20369999999999996</v>
      </c>
      <c r="O241" s="100">
        <f>E241/2</f>
        <v>0.97</v>
      </c>
      <c r="P241" s="100"/>
      <c r="Q241" s="58">
        <f>SUM(R241:T241)</f>
        <v>0.21521777999999997</v>
      </c>
      <c r="R241" s="34">
        <f>E241*0.5*0.18+N241*0.02</f>
        <v>0.17867399999999997</v>
      </c>
      <c r="S241" s="34">
        <f>(N241*0.18+(O241*12*21/1000))*0.13*0.7</f>
        <v>0.025580646</v>
      </c>
      <c r="T241" s="34">
        <f>(N241*0.18+(O241*12*21/1000))*0.13*0.3</f>
        <v>0.010963134</v>
      </c>
    </row>
    <row r="242" spans="1:20" ht="15">
      <c r="A242" s="866"/>
      <c r="B242" s="951"/>
      <c r="C242" s="953"/>
      <c r="D242" s="9">
        <v>2013</v>
      </c>
      <c r="E242" s="56">
        <f t="shared" si="101"/>
        <v>1.94</v>
      </c>
      <c r="F242" s="57"/>
      <c r="G242" s="57"/>
      <c r="H242" s="56">
        <v>1.32</v>
      </c>
      <c r="I242" s="56">
        <v>0.62</v>
      </c>
      <c r="J242" s="57"/>
      <c r="K242" s="57"/>
      <c r="L242" s="892"/>
      <c r="M242" s="892"/>
      <c r="N242" s="99">
        <f>E242*0.7*0.15</f>
        <v>0.20369999999999996</v>
      </c>
      <c r="O242" s="100">
        <f>E242/2</f>
        <v>0.97</v>
      </c>
      <c r="P242" s="100"/>
      <c r="Q242" s="58">
        <f>SUM(R242:T242)</f>
        <v>0.21521777999999997</v>
      </c>
      <c r="R242" s="34">
        <f>E242*0.5*0.18+N242*0.02</f>
        <v>0.17867399999999997</v>
      </c>
      <c r="S242" s="34">
        <f>(N242*0.18+(O242*12*21/1000))*0.13*0.7</f>
        <v>0.025580646</v>
      </c>
      <c r="T242" s="34">
        <f>(N242*0.18+(O242*12*21/1000))*0.13*0.3</f>
        <v>0.010963134</v>
      </c>
    </row>
    <row r="243" spans="1:20" ht="15">
      <c r="A243" s="866"/>
      <c r="B243" s="951"/>
      <c r="C243" s="953"/>
      <c r="D243" s="9">
        <v>2014</v>
      </c>
      <c r="E243" s="56">
        <f t="shared" si="101"/>
        <v>1.94</v>
      </c>
      <c r="F243" s="57"/>
      <c r="G243" s="57"/>
      <c r="H243" s="56">
        <v>1.32</v>
      </c>
      <c r="I243" s="56">
        <v>0.62</v>
      </c>
      <c r="J243" s="57"/>
      <c r="K243" s="57"/>
      <c r="L243" s="892"/>
      <c r="M243" s="892"/>
      <c r="N243" s="99">
        <f>E243*0.7*0.15</f>
        <v>0.20369999999999996</v>
      </c>
      <c r="O243" s="100">
        <f>E243/2</f>
        <v>0.97</v>
      </c>
      <c r="P243" s="100"/>
      <c r="Q243" s="58">
        <f>SUM(R243:T243)</f>
        <v>0.21521777999999997</v>
      </c>
      <c r="R243" s="34">
        <f>E243*0.5*0.18+N243*0.02</f>
        <v>0.17867399999999997</v>
      </c>
      <c r="S243" s="34">
        <f>(N243*0.18+(O243*12*21/1000))*0.13*0.7</f>
        <v>0.025580646</v>
      </c>
      <c r="T243" s="34">
        <f>(N243*0.18+(O243*12*21/1000))*0.13*0.3</f>
        <v>0.010963134</v>
      </c>
    </row>
    <row r="244" spans="1:20" ht="15">
      <c r="A244" s="866">
        <f>A238+1</f>
        <v>24</v>
      </c>
      <c r="B244" s="951" t="s">
        <v>654</v>
      </c>
      <c r="C244" s="952"/>
      <c r="D244" s="129" t="s">
        <v>570</v>
      </c>
      <c r="E244" s="57">
        <f aca="true" t="shared" si="106" ref="E244:K244">SUM(E245:E249)</f>
        <v>11.4</v>
      </c>
      <c r="F244" s="57">
        <f t="shared" si="106"/>
        <v>0</v>
      </c>
      <c r="G244" s="57">
        <f t="shared" si="106"/>
        <v>0</v>
      </c>
      <c r="H244" s="57">
        <f t="shared" si="106"/>
        <v>5.550000000000001</v>
      </c>
      <c r="I244" s="57">
        <f t="shared" si="106"/>
        <v>5.85</v>
      </c>
      <c r="J244" s="57">
        <f t="shared" si="106"/>
        <v>0</v>
      </c>
      <c r="K244" s="57">
        <f t="shared" si="106"/>
        <v>0</v>
      </c>
      <c r="L244" s="892" t="s">
        <v>782</v>
      </c>
      <c r="M244" s="892" t="s">
        <v>785</v>
      </c>
      <c r="N244" s="379">
        <f aca="true" t="shared" si="107" ref="N244:T244">SUM(N245:N249)</f>
        <v>1.1969999999999998</v>
      </c>
      <c r="O244" s="380">
        <f t="shared" si="107"/>
        <v>5.7</v>
      </c>
      <c r="P244" s="380"/>
      <c r="Q244" s="379">
        <f t="shared" si="107"/>
        <v>1.2646818</v>
      </c>
      <c r="R244" s="379">
        <f t="shared" si="107"/>
        <v>1.04994</v>
      </c>
      <c r="S244" s="379">
        <f t="shared" si="107"/>
        <v>0.15031926</v>
      </c>
      <c r="T244" s="379">
        <f t="shared" si="107"/>
        <v>0.06442254</v>
      </c>
    </row>
    <row r="245" spans="1:20" ht="15">
      <c r="A245" s="866"/>
      <c r="B245" s="951"/>
      <c r="C245" s="953"/>
      <c r="D245" s="10">
        <v>2010</v>
      </c>
      <c r="E245" s="56">
        <f t="shared" si="101"/>
        <v>0.3</v>
      </c>
      <c r="F245" s="57"/>
      <c r="G245" s="57"/>
      <c r="H245" s="56"/>
      <c r="I245" s="56">
        <v>0.3</v>
      </c>
      <c r="J245" s="57"/>
      <c r="K245" s="57"/>
      <c r="L245" s="892"/>
      <c r="M245" s="892"/>
      <c r="N245" s="99">
        <f>E245*0.7*0.15</f>
        <v>0.0315</v>
      </c>
      <c r="O245" s="100">
        <f>E245/2</f>
        <v>0.15</v>
      </c>
      <c r="P245" s="100"/>
      <c r="Q245" s="58">
        <f>SUM(R245:T245)</f>
        <v>0.0332811</v>
      </c>
      <c r="R245" s="34">
        <f>E245*0.5*0.18+N245*0.02</f>
        <v>0.02763</v>
      </c>
      <c r="S245" s="34">
        <f>(N245*0.18+(O245*12*21/1000))*0.13*0.7</f>
        <v>0.00395577</v>
      </c>
      <c r="T245" s="34">
        <f>(N245*0.18+(O245*12*21/1000))*0.13*0.3</f>
        <v>0.0016953299999999999</v>
      </c>
    </row>
    <row r="246" spans="1:20" ht="15">
      <c r="A246" s="866"/>
      <c r="B246" s="951"/>
      <c r="C246" s="953"/>
      <c r="D246" s="10">
        <v>2011</v>
      </c>
      <c r="E246" s="56">
        <f t="shared" si="101"/>
        <v>3.7</v>
      </c>
      <c r="F246" s="57"/>
      <c r="G246" s="57"/>
      <c r="H246" s="56">
        <f aca="true" t="shared" si="108" ref="H246:I248">3.7*0.5</f>
        <v>1.85</v>
      </c>
      <c r="I246" s="56">
        <f t="shared" si="108"/>
        <v>1.85</v>
      </c>
      <c r="J246" s="57"/>
      <c r="K246" s="57"/>
      <c r="L246" s="892"/>
      <c r="M246" s="892"/>
      <c r="N246" s="99">
        <f>E246*0.7*0.15</f>
        <v>0.38849999999999996</v>
      </c>
      <c r="O246" s="100">
        <f>E246/2</f>
        <v>1.85</v>
      </c>
      <c r="P246" s="100"/>
      <c r="Q246" s="58">
        <f>SUM(R246:T246)</f>
        <v>0.41046689999999997</v>
      </c>
      <c r="R246" s="34">
        <f>E246*0.5*0.18+N246*0.02</f>
        <v>0.34077</v>
      </c>
      <c r="S246" s="34">
        <f>(N246*0.18+(O246*12*21/1000))*0.13*0.7</f>
        <v>0.048787830000000004</v>
      </c>
      <c r="T246" s="34">
        <f>(N246*0.18+(O246*12*21/1000))*0.13*0.3</f>
        <v>0.020909070000000002</v>
      </c>
    </row>
    <row r="247" spans="1:20" ht="15">
      <c r="A247" s="866"/>
      <c r="B247" s="951"/>
      <c r="C247" s="953"/>
      <c r="D247" s="9">
        <v>2012</v>
      </c>
      <c r="E247" s="56">
        <f t="shared" si="101"/>
        <v>3.7</v>
      </c>
      <c r="F247" s="57"/>
      <c r="G247" s="57"/>
      <c r="H247" s="56">
        <f t="shared" si="108"/>
        <v>1.85</v>
      </c>
      <c r="I247" s="56">
        <f t="shared" si="108"/>
        <v>1.85</v>
      </c>
      <c r="J247" s="57"/>
      <c r="K247" s="57"/>
      <c r="L247" s="892"/>
      <c r="M247" s="892"/>
      <c r="N247" s="99">
        <f>E247*0.7*0.15</f>
        <v>0.38849999999999996</v>
      </c>
      <c r="O247" s="100">
        <f>E247/2</f>
        <v>1.85</v>
      </c>
      <c r="P247" s="100"/>
      <c r="Q247" s="58">
        <f>SUM(R247:T247)</f>
        <v>0.41046689999999997</v>
      </c>
      <c r="R247" s="34">
        <f>E247*0.5*0.18+N247*0.02</f>
        <v>0.34077</v>
      </c>
      <c r="S247" s="34">
        <f>(N247*0.18+(O247*12*21/1000))*0.13*0.7</f>
        <v>0.048787830000000004</v>
      </c>
      <c r="T247" s="34">
        <f>(N247*0.18+(O247*12*21/1000))*0.13*0.3</f>
        <v>0.020909070000000002</v>
      </c>
    </row>
    <row r="248" spans="1:20" ht="15">
      <c r="A248" s="866"/>
      <c r="B248" s="951"/>
      <c r="C248" s="953"/>
      <c r="D248" s="9">
        <v>2013</v>
      </c>
      <c r="E248" s="56">
        <f t="shared" si="101"/>
        <v>3.7</v>
      </c>
      <c r="F248" s="57"/>
      <c r="G248" s="57"/>
      <c r="H248" s="56">
        <f t="shared" si="108"/>
        <v>1.85</v>
      </c>
      <c r="I248" s="56">
        <f t="shared" si="108"/>
        <v>1.85</v>
      </c>
      <c r="J248" s="57"/>
      <c r="K248" s="57"/>
      <c r="L248" s="892"/>
      <c r="M248" s="892"/>
      <c r="N248" s="99">
        <f>E248*0.7*0.15</f>
        <v>0.38849999999999996</v>
      </c>
      <c r="O248" s="100">
        <f>E248/2</f>
        <v>1.85</v>
      </c>
      <c r="P248" s="100"/>
      <c r="Q248" s="58">
        <f>SUM(R248:T248)</f>
        <v>0.41046689999999997</v>
      </c>
      <c r="R248" s="34">
        <f>E248*0.5*0.18+N248*0.02</f>
        <v>0.34077</v>
      </c>
      <c r="S248" s="34">
        <f>(N248*0.18+(O248*12*21/1000))*0.13*0.7</f>
        <v>0.048787830000000004</v>
      </c>
      <c r="T248" s="34">
        <f>(N248*0.18+(O248*12*21/1000))*0.13*0.3</f>
        <v>0.020909070000000002</v>
      </c>
    </row>
    <row r="249" spans="1:20" ht="15">
      <c r="A249" s="866"/>
      <c r="B249" s="951"/>
      <c r="C249" s="953"/>
      <c r="D249" s="9">
        <v>2014</v>
      </c>
      <c r="E249" s="56">
        <f>SUM(F249:K249)</f>
        <v>0</v>
      </c>
      <c r="F249" s="57"/>
      <c r="G249" s="57"/>
      <c r="H249" s="56"/>
      <c r="I249" s="56"/>
      <c r="J249" s="57"/>
      <c r="K249" s="57"/>
      <c r="L249" s="892"/>
      <c r="M249" s="892"/>
      <c r="N249" s="99">
        <f>E249*0.7*0.15</f>
        <v>0</v>
      </c>
      <c r="O249" s="100">
        <f>E249/2</f>
        <v>0</v>
      </c>
      <c r="P249" s="100"/>
      <c r="Q249" s="58">
        <f>SUM(R249:T249)</f>
        <v>0</v>
      </c>
      <c r="R249" s="34">
        <f>E249*0.5*0.18+N249*0.02</f>
        <v>0</v>
      </c>
      <c r="S249" s="34">
        <f>(N249*0.18+(O249*12*21/1000))*0.13*0.7</f>
        <v>0</v>
      </c>
      <c r="T249" s="34">
        <f>(N249*0.18+(O249*12*21/1000))*0.13*0.3</f>
        <v>0</v>
      </c>
    </row>
    <row r="250" spans="1:20" ht="15" hidden="1">
      <c r="A250" s="881" t="s">
        <v>160</v>
      </c>
      <c r="B250" s="881"/>
      <c r="C250" s="881"/>
      <c r="D250" s="881"/>
      <c r="E250" s="881"/>
      <c r="F250" s="881"/>
      <c r="G250" s="881"/>
      <c r="H250" s="881"/>
      <c r="I250" s="881"/>
      <c r="J250" s="881"/>
      <c r="K250" s="881"/>
      <c r="L250" s="881"/>
      <c r="M250" s="881"/>
      <c r="N250" s="881"/>
      <c r="O250" s="881"/>
      <c r="P250" s="881"/>
      <c r="Q250" s="881"/>
      <c r="R250" s="881"/>
      <c r="S250" s="881"/>
      <c r="T250" s="881"/>
    </row>
    <row r="251" spans="1:20" ht="15" hidden="1">
      <c r="A251" s="866"/>
      <c r="B251" s="882"/>
      <c r="C251" s="883"/>
      <c r="D251" s="6"/>
      <c r="E251" s="53"/>
      <c r="F251" s="53"/>
      <c r="G251" s="53"/>
      <c r="H251" s="53"/>
      <c r="I251" s="53"/>
      <c r="J251" s="53"/>
      <c r="K251" s="53"/>
      <c r="L251" s="16"/>
      <c r="M251" s="878"/>
      <c r="N251" s="878"/>
      <c r="O251" s="83"/>
      <c r="P251" s="83"/>
      <c r="Q251" s="16"/>
      <c r="R251" s="54"/>
      <c r="S251" s="16"/>
      <c r="T251" s="16"/>
    </row>
    <row r="252" spans="1:20" ht="15" hidden="1">
      <c r="A252" s="866"/>
      <c r="B252" s="882"/>
      <c r="C252" s="883"/>
      <c r="D252" s="6"/>
      <c r="E252" s="53"/>
      <c r="F252" s="53"/>
      <c r="G252" s="53"/>
      <c r="H252" s="53"/>
      <c r="I252" s="53"/>
      <c r="J252" s="53"/>
      <c r="K252" s="53"/>
      <c r="L252" s="878"/>
      <c r="M252" s="878"/>
      <c r="N252" s="878"/>
      <c r="O252" s="83"/>
      <c r="P252" s="83"/>
      <c r="Q252" s="16"/>
      <c r="R252" s="54"/>
      <c r="S252" s="16"/>
      <c r="T252" s="16"/>
    </row>
    <row r="253" spans="1:20" ht="15" hidden="1">
      <c r="A253" s="866"/>
      <c r="B253" s="882"/>
      <c r="C253" s="883"/>
      <c r="D253" s="6"/>
      <c r="E253" s="53"/>
      <c r="F253" s="53"/>
      <c r="G253" s="53"/>
      <c r="H253" s="53"/>
      <c r="I253" s="53"/>
      <c r="J253" s="53"/>
      <c r="K253" s="53"/>
      <c r="L253" s="878"/>
      <c r="M253" s="878"/>
      <c r="N253" s="878"/>
      <c r="O253" s="83"/>
      <c r="P253" s="83"/>
      <c r="Q253" s="16"/>
      <c r="R253" s="54"/>
      <c r="S253" s="16"/>
      <c r="T253" s="16"/>
    </row>
    <row r="254" spans="1:20" ht="15" hidden="1">
      <c r="A254" s="866"/>
      <c r="B254" s="882"/>
      <c r="C254" s="883"/>
      <c r="D254" s="36"/>
      <c r="E254" s="55"/>
      <c r="F254" s="55"/>
      <c r="G254" s="55"/>
      <c r="H254" s="55"/>
      <c r="I254" s="55"/>
      <c r="J254" s="55"/>
      <c r="K254" s="55"/>
      <c r="L254" s="878"/>
      <c r="M254" s="878"/>
      <c r="N254" s="878"/>
      <c r="O254" s="83"/>
      <c r="P254" s="83"/>
      <c r="Q254" s="16"/>
      <c r="R254" s="54"/>
      <c r="S254" s="16"/>
      <c r="T254" s="16"/>
    </row>
    <row r="255" spans="1:20" ht="15.75">
      <c r="A255" s="872" t="s">
        <v>187</v>
      </c>
      <c r="B255" s="872"/>
      <c r="C255" s="872"/>
      <c r="D255" s="872"/>
      <c r="E255" s="872"/>
      <c r="F255" s="872"/>
      <c r="G255" s="872"/>
      <c r="H255" s="872"/>
      <c r="I255" s="872"/>
      <c r="J255" s="872"/>
      <c r="K255" s="872"/>
      <c r="L255" s="872"/>
      <c r="M255" s="872"/>
      <c r="N255" s="872"/>
      <c r="O255" s="872"/>
      <c r="P255" s="872"/>
      <c r="Q255" s="872"/>
      <c r="R255" s="872"/>
      <c r="S255" s="872"/>
      <c r="T255" s="872"/>
    </row>
    <row r="256" spans="1:20" ht="15">
      <c r="A256" s="873"/>
      <c r="B256" s="874" t="s">
        <v>646</v>
      </c>
      <c r="C256" s="874"/>
      <c r="D256" s="38">
        <v>2010</v>
      </c>
      <c r="E256" s="52">
        <f>E263+E269+E275</f>
        <v>1.6</v>
      </c>
      <c r="F256" s="52">
        <f aca="true" t="shared" si="109" ref="F256:K256">F263+F269+F275</f>
        <v>0.8</v>
      </c>
      <c r="G256" s="52">
        <f t="shared" si="109"/>
        <v>0</v>
      </c>
      <c r="H256" s="52">
        <f t="shared" si="109"/>
        <v>0</v>
      </c>
      <c r="I256" s="52">
        <f t="shared" si="109"/>
        <v>0.4</v>
      </c>
      <c r="J256" s="52">
        <f t="shared" si="109"/>
        <v>0.4</v>
      </c>
      <c r="K256" s="52">
        <f t="shared" si="109"/>
        <v>0</v>
      </c>
      <c r="L256" s="875"/>
      <c r="M256" s="875"/>
      <c r="N256" s="52">
        <f>N263+N269+N275</f>
        <v>0.16799999999999998</v>
      </c>
      <c r="O256" s="52">
        <f aca="true" t="shared" si="110" ref="O256:T256">O263+O269+O275</f>
        <v>0.8</v>
      </c>
      <c r="P256" s="52">
        <f t="shared" si="110"/>
        <v>0</v>
      </c>
      <c r="Q256" s="52">
        <f t="shared" si="110"/>
        <v>0.1774992</v>
      </c>
      <c r="R256" s="52">
        <f t="shared" si="110"/>
        <v>0.14736</v>
      </c>
      <c r="S256" s="52">
        <f t="shared" si="110"/>
        <v>0.021097440000000002</v>
      </c>
      <c r="T256" s="52">
        <f t="shared" si="110"/>
        <v>0.009041760000000001</v>
      </c>
    </row>
    <row r="257" spans="1:20" ht="15">
      <c r="A257" s="873"/>
      <c r="B257" s="874"/>
      <c r="C257" s="874"/>
      <c r="D257" s="38">
        <v>2011</v>
      </c>
      <c r="E257" s="52">
        <f aca="true" t="shared" si="111" ref="E257:K260">E264+E270+E276</f>
        <v>1001.6</v>
      </c>
      <c r="F257" s="52">
        <f t="shared" si="111"/>
        <v>500.8</v>
      </c>
      <c r="G257" s="52">
        <f t="shared" si="111"/>
        <v>0</v>
      </c>
      <c r="H257" s="52">
        <f t="shared" si="111"/>
        <v>0</v>
      </c>
      <c r="I257" s="52">
        <f t="shared" si="111"/>
        <v>250.4</v>
      </c>
      <c r="J257" s="52">
        <f t="shared" si="111"/>
        <v>250.4</v>
      </c>
      <c r="K257" s="52">
        <f t="shared" si="111"/>
        <v>0</v>
      </c>
      <c r="L257" s="875"/>
      <c r="M257" s="875"/>
      <c r="N257" s="52">
        <f aca="true" t="shared" si="112" ref="N257:T260">N264+N270+N276</f>
        <v>105.168</v>
      </c>
      <c r="O257" s="52">
        <f t="shared" si="112"/>
        <v>200.8</v>
      </c>
      <c r="P257" s="52">
        <f t="shared" si="112"/>
        <v>200</v>
      </c>
      <c r="Q257" s="52">
        <f t="shared" si="112"/>
        <v>101.28649919999998</v>
      </c>
      <c r="R257" s="52">
        <f t="shared" si="112"/>
        <v>92.24736</v>
      </c>
      <c r="S257" s="52">
        <f t="shared" si="112"/>
        <v>6.32739744</v>
      </c>
      <c r="T257" s="52">
        <f t="shared" si="112"/>
        <v>2.7117417600000002</v>
      </c>
    </row>
    <row r="258" spans="1:20" ht="15">
      <c r="A258" s="873"/>
      <c r="B258" s="874"/>
      <c r="C258" s="874"/>
      <c r="D258" s="38">
        <v>2012</v>
      </c>
      <c r="E258" s="52">
        <f t="shared" si="111"/>
        <v>1001.6</v>
      </c>
      <c r="F258" s="52">
        <f t="shared" si="111"/>
        <v>500.8</v>
      </c>
      <c r="G258" s="52">
        <f t="shared" si="111"/>
        <v>0</v>
      </c>
      <c r="H258" s="52">
        <f t="shared" si="111"/>
        <v>0</v>
      </c>
      <c r="I258" s="52">
        <f t="shared" si="111"/>
        <v>250.4</v>
      </c>
      <c r="J258" s="52">
        <f t="shared" si="111"/>
        <v>250.4</v>
      </c>
      <c r="K258" s="52">
        <f t="shared" si="111"/>
        <v>0</v>
      </c>
      <c r="L258" s="875"/>
      <c r="M258" s="875"/>
      <c r="N258" s="52">
        <f t="shared" si="112"/>
        <v>105.168</v>
      </c>
      <c r="O258" s="52">
        <f t="shared" si="112"/>
        <v>0.8</v>
      </c>
      <c r="P258" s="52">
        <f t="shared" si="112"/>
        <v>200</v>
      </c>
      <c r="Q258" s="52">
        <f t="shared" si="112"/>
        <v>101.28649919999998</v>
      </c>
      <c r="R258" s="52">
        <f t="shared" si="112"/>
        <v>92.24736</v>
      </c>
      <c r="S258" s="52">
        <f t="shared" si="112"/>
        <v>6.32739744</v>
      </c>
      <c r="T258" s="52">
        <f t="shared" si="112"/>
        <v>2.7117417600000002</v>
      </c>
    </row>
    <row r="259" spans="1:20" ht="15">
      <c r="A259" s="873"/>
      <c r="B259" s="874"/>
      <c r="C259" s="874"/>
      <c r="D259" s="38">
        <v>2013</v>
      </c>
      <c r="E259" s="52">
        <f t="shared" si="111"/>
        <v>1001.6</v>
      </c>
      <c r="F259" s="52">
        <f t="shared" si="111"/>
        <v>500.8</v>
      </c>
      <c r="G259" s="52">
        <f t="shared" si="111"/>
        <v>0</v>
      </c>
      <c r="H259" s="52">
        <f t="shared" si="111"/>
        <v>0</v>
      </c>
      <c r="I259" s="52">
        <f t="shared" si="111"/>
        <v>250.4</v>
      </c>
      <c r="J259" s="52">
        <f t="shared" si="111"/>
        <v>250.4</v>
      </c>
      <c r="K259" s="52">
        <f t="shared" si="111"/>
        <v>0</v>
      </c>
      <c r="L259" s="875"/>
      <c r="M259" s="875"/>
      <c r="N259" s="52">
        <f t="shared" si="112"/>
        <v>105.168</v>
      </c>
      <c r="O259" s="52">
        <f t="shared" si="112"/>
        <v>0.8</v>
      </c>
      <c r="P259" s="52">
        <f t="shared" si="112"/>
        <v>200</v>
      </c>
      <c r="Q259" s="52">
        <f t="shared" si="112"/>
        <v>101.28649919999998</v>
      </c>
      <c r="R259" s="52">
        <f t="shared" si="112"/>
        <v>92.24736</v>
      </c>
      <c r="S259" s="52">
        <f t="shared" si="112"/>
        <v>6.32739744</v>
      </c>
      <c r="T259" s="52">
        <f t="shared" si="112"/>
        <v>2.7117417600000002</v>
      </c>
    </row>
    <row r="260" spans="1:20" ht="15">
      <c r="A260" s="873"/>
      <c r="B260" s="874"/>
      <c r="C260" s="874"/>
      <c r="D260" s="38">
        <v>2014</v>
      </c>
      <c r="E260" s="52">
        <f t="shared" si="111"/>
        <v>1001.6</v>
      </c>
      <c r="F260" s="52">
        <f t="shared" si="111"/>
        <v>500.8</v>
      </c>
      <c r="G260" s="52">
        <f t="shared" si="111"/>
        <v>0</v>
      </c>
      <c r="H260" s="52">
        <f t="shared" si="111"/>
        <v>0</v>
      </c>
      <c r="I260" s="52">
        <f t="shared" si="111"/>
        <v>250.4</v>
      </c>
      <c r="J260" s="52">
        <f t="shared" si="111"/>
        <v>250.4</v>
      </c>
      <c r="K260" s="52">
        <f t="shared" si="111"/>
        <v>0</v>
      </c>
      <c r="L260" s="875"/>
      <c r="M260" s="875"/>
      <c r="N260" s="52">
        <f t="shared" si="112"/>
        <v>105.168</v>
      </c>
      <c r="O260" s="52">
        <f t="shared" si="112"/>
        <v>0.8</v>
      </c>
      <c r="P260" s="52">
        <f t="shared" si="112"/>
        <v>200</v>
      </c>
      <c r="Q260" s="52">
        <f t="shared" si="112"/>
        <v>101.28649919999998</v>
      </c>
      <c r="R260" s="52">
        <f t="shared" si="112"/>
        <v>92.24736</v>
      </c>
      <c r="S260" s="52">
        <f t="shared" si="112"/>
        <v>6.32739744</v>
      </c>
      <c r="T260" s="52">
        <f t="shared" si="112"/>
        <v>2.7117417600000002</v>
      </c>
    </row>
    <row r="261" spans="1:20" ht="15">
      <c r="A261" s="873"/>
      <c r="B261" s="874"/>
      <c r="C261" s="874"/>
      <c r="D261" s="38" t="s">
        <v>378</v>
      </c>
      <c r="E261" s="52">
        <f>SUM(E256:E260)</f>
        <v>4008</v>
      </c>
      <c r="F261" s="52">
        <f aca="true" t="shared" si="113" ref="F261:K261">SUM(F256:F260)</f>
        <v>2004</v>
      </c>
      <c r="G261" s="52">
        <f t="shared" si="113"/>
        <v>0</v>
      </c>
      <c r="H261" s="52">
        <f t="shared" si="113"/>
        <v>0</v>
      </c>
      <c r="I261" s="52">
        <f t="shared" si="113"/>
        <v>1002</v>
      </c>
      <c r="J261" s="52">
        <f t="shared" si="113"/>
        <v>1002</v>
      </c>
      <c r="K261" s="52">
        <f t="shared" si="113"/>
        <v>0</v>
      </c>
      <c r="L261" s="875"/>
      <c r="M261" s="875"/>
      <c r="N261" s="82">
        <f aca="true" t="shared" si="114" ref="N261:T261">SUM(N256:N260)</f>
        <v>420.84000000000003</v>
      </c>
      <c r="O261" s="82">
        <f t="shared" si="114"/>
        <v>204.00000000000006</v>
      </c>
      <c r="P261" s="82"/>
      <c r="Q261" s="82">
        <f t="shared" si="114"/>
        <v>405.3234959999999</v>
      </c>
      <c r="R261" s="82">
        <f t="shared" si="114"/>
        <v>369.13680000000005</v>
      </c>
      <c r="S261" s="82">
        <f t="shared" si="114"/>
        <v>25.3306872</v>
      </c>
      <c r="T261" s="82">
        <f t="shared" si="114"/>
        <v>10.856008800000001</v>
      </c>
    </row>
    <row r="262" spans="1:20" ht="15">
      <c r="A262" s="942"/>
      <c r="B262" s="945"/>
      <c r="C262" s="893" t="s">
        <v>431</v>
      </c>
      <c r="D262" s="12"/>
      <c r="E262" s="62"/>
      <c r="F262" s="62"/>
      <c r="G262" s="62"/>
      <c r="H262" s="62"/>
      <c r="I262" s="62"/>
      <c r="J262" s="62"/>
      <c r="K262" s="62"/>
      <c r="L262" s="948"/>
      <c r="M262" s="939"/>
      <c r="N262" s="99"/>
      <c r="O262" s="103"/>
      <c r="P262" s="103"/>
      <c r="Q262" s="99"/>
      <c r="R262" s="99"/>
      <c r="S262" s="99"/>
      <c r="T262" s="99"/>
    </row>
    <row r="263" spans="1:20" ht="15">
      <c r="A263" s="943"/>
      <c r="B263" s="946"/>
      <c r="C263" s="893"/>
      <c r="D263" s="10"/>
      <c r="E263" s="62"/>
      <c r="F263" s="53"/>
      <c r="G263" s="53"/>
      <c r="H263" s="53"/>
      <c r="I263" s="53"/>
      <c r="J263" s="53"/>
      <c r="K263" s="53"/>
      <c r="L263" s="949"/>
      <c r="M263" s="940"/>
      <c r="N263" s="99"/>
      <c r="O263" s="100"/>
      <c r="P263" s="100"/>
      <c r="Q263" s="58"/>
      <c r="R263" s="34"/>
      <c r="S263" s="34"/>
      <c r="T263" s="34"/>
    </row>
    <row r="264" spans="1:20" ht="15">
      <c r="A264" s="943"/>
      <c r="B264" s="946"/>
      <c r="C264" s="893"/>
      <c r="D264" s="10"/>
      <c r="E264" s="62"/>
      <c r="F264" s="53"/>
      <c r="G264" s="53"/>
      <c r="H264" s="53"/>
      <c r="I264" s="53"/>
      <c r="J264" s="53"/>
      <c r="K264" s="53"/>
      <c r="L264" s="949"/>
      <c r="M264" s="940"/>
      <c r="N264" s="99"/>
      <c r="O264" s="100"/>
      <c r="P264" s="100"/>
      <c r="Q264" s="58"/>
      <c r="R264" s="34"/>
      <c r="S264" s="34"/>
      <c r="T264" s="34"/>
    </row>
    <row r="265" spans="1:20" ht="15">
      <c r="A265" s="943"/>
      <c r="B265" s="946"/>
      <c r="C265" s="893"/>
      <c r="D265" s="9"/>
      <c r="E265" s="62"/>
      <c r="F265" s="53"/>
      <c r="G265" s="53"/>
      <c r="H265" s="53"/>
      <c r="I265" s="53"/>
      <c r="J265" s="53"/>
      <c r="K265" s="53"/>
      <c r="L265" s="949"/>
      <c r="M265" s="940"/>
      <c r="N265" s="99"/>
      <c r="O265" s="100"/>
      <c r="P265" s="100"/>
      <c r="Q265" s="58"/>
      <c r="R265" s="34"/>
      <c r="S265" s="34"/>
      <c r="T265" s="34"/>
    </row>
    <row r="266" spans="1:20" ht="15">
      <c r="A266" s="943"/>
      <c r="B266" s="946"/>
      <c r="C266" s="893"/>
      <c r="D266" s="9"/>
      <c r="E266" s="62"/>
      <c r="F266" s="53"/>
      <c r="G266" s="53"/>
      <c r="H266" s="53"/>
      <c r="I266" s="53"/>
      <c r="J266" s="53"/>
      <c r="K266" s="53"/>
      <c r="L266" s="949"/>
      <c r="M266" s="940"/>
      <c r="N266" s="99"/>
      <c r="O266" s="100"/>
      <c r="P266" s="100"/>
      <c r="Q266" s="58"/>
      <c r="R266" s="34"/>
      <c r="S266" s="34"/>
      <c r="T266" s="34"/>
    </row>
    <row r="267" spans="1:20" ht="15">
      <c r="A267" s="944"/>
      <c r="B267" s="947"/>
      <c r="C267" s="893"/>
      <c r="D267" s="9"/>
      <c r="E267" s="62"/>
      <c r="F267" s="53"/>
      <c r="G267" s="53"/>
      <c r="H267" s="53"/>
      <c r="I267" s="53"/>
      <c r="J267" s="53"/>
      <c r="K267" s="53"/>
      <c r="L267" s="950"/>
      <c r="M267" s="941"/>
      <c r="N267" s="99"/>
      <c r="O267" s="100"/>
      <c r="P267" s="100"/>
      <c r="Q267" s="58"/>
      <c r="R267" s="34"/>
      <c r="S267" s="34"/>
      <c r="T267" s="34"/>
    </row>
    <row r="268" spans="1:20" ht="15">
      <c r="A268" s="866">
        <v>25</v>
      </c>
      <c r="B268" s="882" t="s">
        <v>140</v>
      </c>
      <c r="C268" s="893"/>
      <c r="D268" s="129" t="s">
        <v>445</v>
      </c>
      <c r="E268" s="57">
        <f aca="true" t="shared" si="115" ref="E268:K268">SUM(E269:E273)</f>
        <v>8</v>
      </c>
      <c r="F268" s="57">
        <f t="shared" si="115"/>
        <v>4</v>
      </c>
      <c r="G268" s="57">
        <f t="shared" si="115"/>
        <v>0</v>
      </c>
      <c r="H268" s="57">
        <f t="shared" si="115"/>
        <v>0</v>
      </c>
      <c r="I268" s="57">
        <f t="shared" si="115"/>
        <v>2</v>
      </c>
      <c r="J268" s="57">
        <f t="shared" si="115"/>
        <v>2</v>
      </c>
      <c r="K268" s="57">
        <f t="shared" si="115"/>
        <v>0</v>
      </c>
      <c r="L268" s="878" t="s">
        <v>395</v>
      </c>
      <c r="M268" s="871" t="s">
        <v>395</v>
      </c>
      <c r="N268" s="379">
        <f aca="true" t="shared" si="116" ref="N268:T268">SUM(N269:N273)</f>
        <v>0.8399999999999999</v>
      </c>
      <c r="O268" s="380">
        <f t="shared" si="116"/>
        <v>4</v>
      </c>
      <c r="P268" s="380"/>
      <c r="Q268" s="379">
        <f t="shared" si="116"/>
        <v>0.887496</v>
      </c>
      <c r="R268" s="379">
        <f t="shared" si="116"/>
        <v>0.7367999999999999</v>
      </c>
      <c r="S268" s="379">
        <f t="shared" si="116"/>
        <v>0.1054872</v>
      </c>
      <c r="T268" s="379">
        <f t="shared" si="116"/>
        <v>0.04520880000000001</v>
      </c>
    </row>
    <row r="269" spans="1:20" ht="15">
      <c r="A269" s="866"/>
      <c r="B269" s="882"/>
      <c r="C269" s="893"/>
      <c r="D269" s="6">
        <v>2010</v>
      </c>
      <c r="E269" s="62">
        <f aca="true" t="shared" si="117" ref="E269:E279">SUM(F269:K269)</f>
        <v>1.6</v>
      </c>
      <c r="F269" s="53">
        <v>0.8</v>
      </c>
      <c r="G269" s="53"/>
      <c r="H269" s="53"/>
      <c r="I269" s="53">
        <v>0.4</v>
      </c>
      <c r="J269" s="53">
        <v>0.4</v>
      </c>
      <c r="K269" s="53"/>
      <c r="L269" s="878"/>
      <c r="M269" s="871"/>
      <c r="N269" s="99">
        <f>E269*0.7*0.15</f>
        <v>0.16799999999999998</v>
      </c>
      <c r="O269" s="100">
        <f>E269/2</f>
        <v>0.8</v>
      </c>
      <c r="P269" s="100"/>
      <c r="Q269" s="58">
        <f>SUM(R269:T269)</f>
        <v>0.1774992</v>
      </c>
      <c r="R269" s="34">
        <f>E269*0.5*0.18+N269*0.02</f>
        <v>0.14736</v>
      </c>
      <c r="S269" s="34">
        <f>(N269*0.18+(O269*12*21/1000))*0.13*0.7</f>
        <v>0.021097440000000002</v>
      </c>
      <c r="T269" s="34">
        <f>(N269*0.18+(O269*12*21/1000))*0.13*0.3</f>
        <v>0.009041760000000001</v>
      </c>
    </row>
    <row r="270" spans="1:20" ht="15">
      <c r="A270" s="866"/>
      <c r="B270" s="882"/>
      <c r="C270" s="893"/>
      <c r="D270" s="6">
        <v>2011</v>
      </c>
      <c r="E270" s="62">
        <f t="shared" si="117"/>
        <v>1.6</v>
      </c>
      <c r="F270" s="53">
        <v>0.8</v>
      </c>
      <c r="G270" s="53"/>
      <c r="H270" s="53"/>
      <c r="I270" s="53">
        <v>0.4</v>
      </c>
      <c r="J270" s="53">
        <v>0.4</v>
      </c>
      <c r="K270" s="53"/>
      <c r="L270" s="878"/>
      <c r="M270" s="871"/>
      <c r="N270" s="99">
        <f>E270*0.7*0.15</f>
        <v>0.16799999999999998</v>
      </c>
      <c r="O270" s="100">
        <f>E270/2</f>
        <v>0.8</v>
      </c>
      <c r="P270" s="100"/>
      <c r="Q270" s="58">
        <f>SUM(R270:T270)</f>
        <v>0.1774992</v>
      </c>
      <c r="R270" s="34">
        <f>E270*0.5*0.18+N270*0.02</f>
        <v>0.14736</v>
      </c>
      <c r="S270" s="34">
        <f>(N270*0.18+(O270*12*21/1000))*0.13*0.7</f>
        <v>0.021097440000000002</v>
      </c>
      <c r="T270" s="34">
        <f>(N270*0.18+(O270*12*21/1000))*0.13*0.3</f>
        <v>0.009041760000000001</v>
      </c>
    </row>
    <row r="271" spans="1:20" ht="15">
      <c r="A271" s="866"/>
      <c r="B271" s="882"/>
      <c r="C271" s="893"/>
      <c r="D271" s="6">
        <v>2012</v>
      </c>
      <c r="E271" s="62">
        <f t="shared" si="117"/>
        <v>1.6</v>
      </c>
      <c r="F271" s="53">
        <v>0.8</v>
      </c>
      <c r="G271" s="53"/>
      <c r="H271" s="53"/>
      <c r="I271" s="53">
        <v>0.4</v>
      </c>
      <c r="J271" s="53">
        <v>0.4</v>
      </c>
      <c r="K271" s="53"/>
      <c r="L271" s="878"/>
      <c r="M271" s="871"/>
      <c r="N271" s="99">
        <f>E271*0.7*0.15</f>
        <v>0.16799999999999998</v>
      </c>
      <c r="O271" s="100">
        <f>E271/2</f>
        <v>0.8</v>
      </c>
      <c r="P271" s="100"/>
      <c r="Q271" s="58">
        <f>SUM(R271:T271)</f>
        <v>0.1774992</v>
      </c>
      <c r="R271" s="34">
        <f>E271*0.5*0.18+N271*0.02</f>
        <v>0.14736</v>
      </c>
      <c r="S271" s="34">
        <f>(N271*0.18+(O271*12*21/1000))*0.13*0.7</f>
        <v>0.021097440000000002</v>
      </c>
      <c r="T271" s="34">
        <f>(N271*0.18+(O271*12*21/1000))*0.13*0.3</f>
        <v>0.009041760000000001</v>
      </c>
    </row>
    <row r="272" spans="1:20" ht="15">
      <c r="A272" s="866"/>
      <c r="B272" s="882"/>
      <c r="C272" s="893"/>
      <c r="D272" s="6">
        <v>2013</v>
      </c>
      <c r="E272" s="62">
        <f t="shared" si="117"/>
        <v>1.6</v>
      </c>
      <c r="F272" s="53">
        <v>0.8</v>
      </c>
      <c r="G272" s="53"/>
      <c r="H272" s="53"/>
      <c r="I272" s="53">
        <v>0.4</v>
      </c>
      <c r="J272" s="53">
        <v>0.4</v>
      </c>
      <c r="K272" s="53"/>
      <c r="L272" s="878"/>
      <c r="M272" s="871"/>
      <c r="N272" s="99">
        <f>E272*0.7*0.15</f>
        <v>0.16799999999999998</v>
      </c>
      <c r="O272" s="100">
        <f>E272/2</f>
        <v>0.8</v>
      </c>
      <c r="P272" s="100"/>
      <c r="Q272" s="58">
        <f>SUM(R272:T272)</f>
        <v>0.1774992</v>
      </c>
      <c r="R272" s="34">
        <f>E272*0.5*0.18+N272*0.02</f>
        <v>0.14736</v>
      </c>
      <c r="S272" s="34">
        <f>(N272*0.18+(O272*12*21/1000))*0.13*0.7</f>
        <v>0.021097440000000002</v>
      </c>
      <c r="T272" s="34">
        <f>(N272*0.18+(O272*12*21/1000))*0.13*0.3</f>
        <v>0.009041760000000001</v>
      </c>
    </row>
    <row r="273" spans="1:20" ht="15">
      <c r="A273" s="866"/>
      <c r="B273" s="882"/>
      <c r="C273" s="893"/>
      <c r="D273" s="6">
        <v>2014</v>
      </c>
      <c r="E273" s="62">
        <f t="shared" si="117"/>
        <v>1.6</v>
      </c>
      <c r="F273" s="53">
        <v>0.8</v>
      </c>
      <c r="G273" s="53"/>
      <c r="H273" s="53"/>
      <c r="I273" s="53">
        <v>0.4</v>
      </c>
      <c r="J273" s="53">
        <v>0.4</v>
      </c>
      <c r="K273" s="53"/>
      <c r="L273" s="878"/>
      <c r="M273" s="871"/>
      <c r="N273" s="99">
        <f>E273*0.7*0.15</f>
        <v>0.16799999999999998</v>
      </c>
      <c r="O273" s="100">
        <f>E273/2</f>
        <v>0.8</v>
      </c>
      <c r="P273" s="100"/>
      <c r="Q273" s="58">
        <f>SUM(R273:T273)</f>
        <v>0.1774992</v>
      </c>
      <c r="R273" s="34">
        <f>E273*0.5*0.18+N273*0.02</f>
        <v>0.14736</v>
      </c>
      <c r="S273" s="34">
        <f>(N273*0.18+(O273*12*21/1000))*0.13*0.7</f>
        <v>0.021097440000000002</v>
      </c>
      <c r="T273" s="34">
        <f>(N273*0.18+(O273*12*21/1000))*0.13*0.3</f>
        <v>0.009041760000000001</v>
      </c>
    </row>
    <row r="274" spans="1:20" ht="15">
      <c r="A274" s="866">
        <f>A268+1</f>
        <v>26</v>
      </c>
      <c r="B274" s="882" t="s">
        <v>142</v>
      </c>
      <c r="C274" s="893"/>
      <c r="D274" s="129" t="s">
        <v>642</v>
      </c>
      <c r="E274" s="57">
        <f>SUM(E275:E279)</f>
        <v>4000</v>
      </c>
      <c r="F274" s="57">
        <f aca="true" t="shared" si="118" ref="F274:K274">SUM(F275:F279)</f>
        <v>2000</v>
      </c>
      <c r="G274" s="57">
        <f t="shared" si="118"/>
        <v>0</v>
      </c>
      <c r="H274" s="57">
        <f t="shared" si="118"/>
        <v>0</v>
      </c>
      <c r="I274" s="57">
        <f t="shared" si="118"/>
        <v>1000</v>
      </c>
      <c r="J274" s="57">
        <f t="shared" si="118"/>
        <v>1000</v>
      </c>
      <c r="K274" s="57">
        <f t="shared" si="118"/>
        <v>0</v>
      </c>
      <c r="L274" s="878" t="s">
        <v>394</v>
      </c>
      <c r="M274" s="871" t="s">
        <v>394</v>
      </c>
      <c r="N274" s="379">
        <f aca="true" t="shared" si="119" ref="N274:T274">SUM(N275:N279)</f>
        <v>420</v>
      </c>
      <c r="O274" s="380">
        <f t="shared" si="119"/>
        <v>200</v>
      </c>
      <c r="P274" s="380">
        <f>SUM(P275:P279)</f>
        <v>800</v>
      </c>
      <c r="Q274" s="379">
        <f t="shared" si="119"/>
        <v>404.4359999999999</v>
      </c>
      <c r="R274" s="379">
        <f t="shared" si="119"/>
        <v>368.4</v>
      </c>
      <c r="S274" s="379">
        <f t="shared" si="119"/>
        <v>25.2252</v>
      </c>
      <c r="T274" s="379">
        <f t="shared" si="119"/>
        <v>10.8108</v>
      </c>
    </row>
    <row r="275" spans="1:20" ht="15">
      <c r="A275" s="866"/>
      <c r="B275" s="882"/>
      <c r="C275" s="893"/>
      <c r="D275" s="6">
        <v>2010</v>
      </c>
      <c r="E275" s="62">
        <f t="shared" si="117"/>
        <v>0</v>
      </c>
      <c r="F275" s="62"/>
      <c r="G275" s="62"/>
      <c r="H275" s="62"/>
      <c r="I275" s="62"/>
      <c r="J275" s="62"/>
      <c r="K275" s="62"/>
      <c r="L275" s="878"/>
      <c r="M275" s="871"/>
      <c r="N275" s="99">
        <f>E275*0.7*0.15</f>
        <v>0</v>
      </c>
      <c r="O275" s="100">
        <f>E275/4</f>
        <v>0</v>
      </c>
      <c r="P275" s="100">
        <f>E275/4</f>
        <v>0</v>
      </c>
      <c r="Q275" s="58">
        <f>SUM(R275:T275)</f>
        <v>0</v>
      </c>
      <c r="R275" s="34">
        <f>E275*0.5*0.18+N275*0.02</f>
        <v>0</v>
      </c>
      <c r="S275" s="34">
        <f>(N275*0.18+(P275*12*21/1000))*0.13*0.7</f>
        <v>0</v>
      </c>
      <c r="T275" s="34">
        <f>(N275*0.18+(P275*12*21/1000))*0.13*0.3</f>
        <v>0</v>
      </c>
    </row>
    <row r="276" spans="1:20" ht="15">
      <c r="A276" s="866"/>
      <c r="B276" s="882"/>
      <c r="C276" s="893"/>
      <c r="D276" s="6">
        <v>2011</v>
      </c>
      <c r="E276" s="62">
        <f t="shared" si="117"/>
        <v>1000</v>
      </c>
      <c r="F276" s="53">
        <v>500</v>
      </c>
      <c r="G276" s="53"/>
      <c r="H276" s="53"/>
      <c r="I276" s="53">
        <v>250</v>
      </c>
      <c r="J276" s="53">
        <v>250</v>
      </c>
      <c r="K276" s="53"/>
      <c r="L276" s="878"/>
      <c r="M276" s="871"/>
      <c r="N276" s="99">
        <f>E276*0.7*0.15</f>
        <v>105</v>
      </c>
      <c r="O276" s="100">
        <f>E276/5</f>
        <v>200</v>
      </c>
      <c r="P276" s="100">
        <f>E276/5</f>
        <v>200</v>
      </c>
      <c r="Q276" s="58">
        <f>SUM(R276:T276)</f>
        <v>101.10899999999998</v>
      </c>
      <c r="R276" s="34">
        <f>E276*0.5*0.18+N276*0.02</f>
        <v>92.1</v>
      </c>
      <c r="S276" s="34">
        <f>(N276*0.18+(P276*12*21/1000))*0.13*0.7</f>
        <v>6.3063</v>
      </c>
      <c r="T276" s="34">
        <f>(N276*0.18+(P276*12*21/1000))*0.13*0.3</f>
        <v>2.7027</v>
      </c>
    </row>
    <row r="277" spans="1:20" ht="15">
      <c r="A277" s="866"/>
      <c r="B277" s="882"/>
      <c r="C277" s="893"/>
      <c r="D277" s="6">
        <v>2012</v>
      </c>
      <c r="E277" s="62">
        <f t="shared" si="117"/>
        <v>1000</v>
      </c>
      <c r="F277" s="53">
        <v>500</v>
      </c>
      <c r="G277" s="53"/>
      <c r="H277" s="53"/>
      <c r="I277" s="53">
        <v>250</v>
      </c>
      <c r="J277" s="53">
        <v>250</v>
      </c>
      <c r="K277" s="53"/>
      <c r="L277" s="878"/>
      <c r="M277" s="871"/>
      <c r="N277" s="99">
        <f>E277*0.7*0.15</f>
        <v>105</v>
      </c>
      <c r="O277" s="100">
        <v>0</v>
      </c>
      <c r="P277" s="100">
        <f>E277/5</f>
        <v>200</v>
      </c>
      <c r="Q277" s="58">
        <f>SUM(R277:T277)</f>
        <v>101.10899999999998</v>
      </c>
      <c r="R277" s="34">
        <f>E277*0.5*0.18+N277*0.02</f>
        <v>92.1</v>
      </c>
      <c r="S277" s="34">
        <f>(N277*0.18+(P277*12*21/1000))*0.13*0.7</f>
        <v>6.3063</v>
      </c>
      <c r="T277" s="34">
        <f>(N277*0.18+(P277*12*21/1000))*0.13*0.3</f>
        <v>2.7027</v>
      </c>
    </row>
    <row r="278" spans="1:20" ht="15">
      <c r="A278" s="866"/>
      <c r="B278" s="882"/>
      <c r="C278" s="893"/>
      <c r="D278" s="6">
        <v>2013</v>
      </c>
      <c r="E278" s="62">
        <f t="shared" si="117"/>
        <v>1000</v>
      </c>
      <c r="F278" s="53">
        <v>500</v>
      </c>
      <c r="G278" s="53"/>
      <c r="H278" s="53"/>
      <c r="I278" s="53">
        <v>250</v>
      </c>
      <c r="J278" s="53">
        <v>250</v>
      </c>
      <c r="K278" s="53"/>
      <c r="L278" s="878"/>
      <c r="M278" s="871"/>
      <c r="N278" s="99">
        <f>E278*0.7*0.15</f>
        <v>105</v>
      </c>
      <c r="O278" s="100">
        <v>0</v>
      </c>
      <c r="P278" s="100">
        <f>E278/5</f>
        <v>200</v>
      </c>
      <c r="Q278" s="58">
        <f>SUM(R278:T278)</f>
        <v>101.10899999999998</v>
      </c>
      <c r="R278" s="34">
        <f>E278*0.5*0.18+N278*0.02</f>
        <v>92.1</v>
      </c>
      <c r="S278" s="34">
        <f>(N278*0.18+(P278*12*21/1000))*0.13*0.7</f>
        <v>6.3063</v>
      </c>
      <c r="T278" s="34">
        <f>(N278*0.18+(P278*12*21/1000))*0.13*0.3</f>
        <v>2.7027</v>
      </c>
    </row>
    <row r="279" spans="1:20" ht="15">
      <c r="A279" s="866"/>
      <c r="B279" s="882"/>
      <c r="C279" s="893"/>
      <c r="D279" s="6">
        <v>2014</v>
      </c>
      <c r="E279" s="62">
        <f t="shared" si="117"/>
        <v>1000</v>
      </c>
      <c r="F279" s="53">
        <v>500</v>
      </c>
      <c r="G279" s="53"/>
      <c r="H279" s="53"/>
      <c r="I279" s="53">
        <v>250</v>
      </c>
      <c r="J279" s="53">
        <v>250</v>
      </c>
      <c r="K279" s="53"/>
      <c r="L279" s="878"/>
      <c r="M279" s="871"/>
      <c r="N279" s="99">
        <f>E279*0.7*0.15</f>
        <v>105</v>
      </c>
      <c r="O279" s="100">
        <v>0</v>
      </c>
      <c r="P279" s="100">
        <f>E279/5</f>
        <v>200</v>
      </c>
      <c r="Q279" s="58">
        <f>SUM(R279:T279)</f>
        <v>101.10899999999998</v>
      </c>
      <c r="R279" s="34">
        <f>E279*0.5*0.18+N279*0.02</f>
        <v>92.1</v>
      </c>
      <c r="S279" s="34">
        <f>(N279*0.18+(P279*12*21/1000))*0.13*0.7</f>
        <v>6.3063</v>
      </c>
      <c r="T279" s="34">
        <f>(N279*0.18+(P279*12*21/1000))*0.13*0.3</f>
        <v>2.7027</v>
      </c>
    </row>
    <row r="280" spans="1:20" ht="15" hidden="1">
      <c r="A280" s="866"/>
      <c r="B280" s="876"/>
      <c r="C280" s="877"/>
      <c r="D280" s="125"/>
      <c r="E280" s="62"/>
      <c r="F280" s="62"/>
      <c r="G280" s="62"/>
      <c r="H280" s="62"/>
      <c r="I280" s="62"/>
      <c r="J280" s="62"/>
      <c r="K280" s="62"/>
      <c r="L280" s="878"/>
      <c r="M280" s="871"/>
      <c r="N280" s="99"/>
      <c r="O280" s="103"/>
      <c r="P280" s="103"/>
      <c r="Q280" s="99"/>
      <c r="R280" s="99"/>
      <c r="S280" s="99"/>
      <c r="T280" s="99"/>
    </row>
    <row r="281" spans="1:20" ht="15" hidden="1">
      <c r="A281" s="866"/>
      <c r="B281" s="876"/>
      <c r="C281" s="877"/>
      <c r="D281" s="126"/>
      <c r="E281" s="62"/>
      <c r="F281" s="62"/>
      <c r="G281" s="62"/>
      <c r="H281" s="62"/>
      <c r="I281" s="62"/>
      <c r="J281" s="62"/>
      <c r="K281" s="62"/>
      <c r="L281" s="878"/>
      <c r="M281" s="871"/>
      <c r="N281" s="99"/>
      <c r="O281" s="100"/>
      <c r="P281" s="100"/>
      <c r="Q281" s="58"/>
      <c r="R281" s="34"/>
      <c r="S281" s="34"/>
      <c r="T281" s="34"/>
    </row>
    <row r="282" spans="1:20" ht="15" hidden="1">
      <c r="A282" s="866"/>
      <c r="B282" s="876"/>
      <c r="C282" s="877"/>
      <c r="D282" s="126"/>
      <c r="E282" s="62"/>
      <c r="F282" s="53"/>
      <c r="G282" s="53"/>
      <c r="H282" s="53"/>
      <c r="I282" s="53"/>
      <c r="J282" s="53"/>
      <c r="K282" s="53"/>
      <c r="L282" s="878"/>
      <c r="M282" s="871"/>
      <c r="N282" s="99"/>
      <c r="O282" s="100"/>
      <c r="P282" s="100"/>
      <c r="Q282" s="58"/>
      <c r="R282" s="34"/>
      <c r="S282" s="34"/>
      <c r="T282" s="34"/>
    </row>
    <row r="283" spans="1:20" ht="15" hidden="1">
      <c r="A283" s="866"/>
      <c r="B283" s="876"/>
      <c r="C283" s="877"/>
      <c r="D283" s="126"/>
      <c r="E283" s="62"/>
      <c r="F283" s="53"/>
      <c r="G283" s="53"/>
      <c r="H283" s="53"/>
      <c r="I283" s="53"/>
      <c r="J283" s="53"/>
      <c r="K283" s="53"/>
      <c r="L283" s="878"/>
      <c r="M283" s="871"/>
      <c r="N283" s="99"/>
      <c r="O283" s="100"/>
      <c r="P283" s="100"/>
      <c r="Q283" s="58"/>
      <c r="R283" s="34"/>
      <c r="S283" s="34"/>
      <c r="T283" s="34"/>
    </row>
    <row r="284" spans="1:20" ht="15" hidden="1">
      <c r="A284" s="866"/>
      <c r="B284" s="876"/>
      <c r="C284" s="877"/>
      <c r="D284" s="126"/>
      <c r="E284" s="62"/>
      <c r="F284" s="53"/>
      <c r="G284" s="53"/>
      <c r="H284" s="53"/>
      <c r="I284" s="53"/>
      <c r="J284" s="53"/>
      <c r="K284" s="53"/>
      <c r="L284" s="878"/>
      <c r="M284" s="871"/>
      <c r="N284" s="99"/>
      <c r="O284" s="100"/>
      <c r="P284" s="100"/>
      <c r="Q284" s="58"/>
      <c r="R284" s="34"/>
      <c r="S284" s="34"/>
      <c r="T284" s="34"/>
    </row>
    <row r="285" spans="1:20" ht="15" hidden="1">
      <c r="A285" s="866"/>
      <c r="B285" s="876"/>
      <c r="C285" s="877"/>
      <c r="D285" s="126"/>
      <c r="E285" s="62"/>
      <c r="F285" s="53"/>
      <c r="G285" s="53"/>
      <c r="H285" s="53"/>
      <c r="I285" s="53"/>
      <c r="J285" s="53"/>
      <c r="K285" s="53"/>
      <c r="L285" s="878"/>
      <c r="M285" s="871"/>
      <c r="N285" s="99"/>
      <c r="O285" s="100"/>
      <c r="P285" s="100"/>
      <c r="Q285" s="58"/>
      <c r="R285" s="34"/>
      <c r="S285" s="34"/>
      <c r="T285" s="34"/>
    </row>
    <row r="286" spans="1:20" ht="15.75">
      <c r="A286" s="872" t="s">
        <v>188</v>
      </c>
      <c r="B286" s="872"/>
      <c r="C286" s="872"/>
      <c r="D286" s="872"/>
      <c r="E286" s="872"/>
      <c r="F286" s="872"/>
      <c r="G286" s="872"/>
      <c r="H286" s="872"/>
      <c r="I286" s="872"/>
      <c r="J286" s="872"/>
      <c r="K286" s="872"/>
      <c r="L286" s="872"/>
      <c r="M286" s="872"/>
      <c r="N286" s="872"/>
      <c r="O286" s="872"/>
      <c r="P286" s="872"/>
      <c r="Q286" s="872"/>
      <c r="R286" s="872"/>
      <c r="S286" s="872"/>
      <c r="T286" s="872"/>
    </row>
    <row r="287" spans="1:20" ht="25.5">
      <c r="A287" s="873"/>
      <c r="B287" s="874" t="s">
        <v>646</v>
      </c>
      <c r="C287" s="874"/>
      <c r="D287" s="38">
        <v>2010</v>
      </c>
      <c r="E287" s="52">
        <f>E294+E300+E306+E312+E318+E324+E330+E336+E342</f>
        <v>9.399999999999999</v>
      </c>
      <c r="F287" s="52">
        <f aca="true" t="shared" si="120" ref="F287:K287">F294+F300+F306+F312+F318+F324+F330+F336+F342</f>
        <v>9.399999999999999</v>
      </c>
      <c r="G287" s="52">
        <f t="shared" si="120"/>
        <v>0</v>
      </c>
      <c r="H287" s="52">
        <f t="shared" si="120"/>
        <v>0</v>
      </c>
      <c r="I287" s="52">
        <f t="shared" si="120"/>
        <v>0</v>
      </c>
      <c r="J287" s="52">
        <f t="shared" si="120"/>
        <v>0</v>
      </c>
      <c r="K287" s="52">
        <f t="shared" si="120"/>
        <v>0</v>
      </c>
      <c r="L287" s="875" t="s">
        <v>395</v>
      </c>
      <c r="M287" s="875" t="s">
        <v>395</v>
      </c>
      <c r="N287" s="40"/>
      <c r="O287" s="81" t="s">
        <v>789</v>
      </c>
      <c r="P287" s="81"/>
      <c r="Q287" s="52">
        <f>Q294+Q300+Q306+Q312+Q318+Q324+Q330+Q336+Q342</f>
        <v>1.2089999999999996</v>
      </c>
      <c r="R287" s="52">
        <f>R294+R300+R306+R312+R318+R324+R330+R336+R342</f>
        <v>0</v>
      </c>
      <c r="S287" s="52">
        <f>S294+S300+S306+S312+S318+S324+S330+S336+S342</f>
        <v>0.8462999999999998</v>
      </c>
      <c r="T287" s="52">
        <f>T294+T300+T306+T312+T318+T324+T330+T336+T342</f>
        <v>0.3627</v>
      </c>
    </row>
    <row r="288" spans="1:20" ht="25.5">
      <c r="A288" s="873"/>
      <c r="B288" s="874"/>
      <c r="C288" s="874"/>
      <c r="D288" s="38">
        <v>2011</v>
      </c>
      <c r="E288" s="52">
        <f aca="true" t="shared" si="121" ref="E288:K291">E295+E301+E307+E313+E319+E325+E331+E337+E343</f>
        <v>10.1</v>
      </c>
      <c r="F288" s="52">
        <f t="shared" si="121"/>
        <v>10.1</v>
      </c>
      <c r="G288" s="52">
        <f t="shared" si="121"/>
        <v>0</v>
      </c>
      <c r="H288" s="52">
        <f t="shared" si="121"/>
        <v>0</v>
      </c>
      <c r="I288" s="52">
        <f t="shared" si="121"/>
        <v>0</v>
      </c>
      <c r="J288" s="52">
        <f t="shared" si="121"/>
        <v>0</v>
      </c>
      <c r="K288" s="52">
        <f t="shared" si="121"/>
        <v>0</v>
      </c>
      <c r="L288" s="875"/>
      <c r="M288" s="875"/>
      <c r="N288" s="40"/>
      <c r="O288" s="81" t="s">
        <v>789</v>
      </c>
      <c r="P288" s="81"/>
      <c r="Q288" s="52">
        <f aca="true" t="shared" si="122" ref="Q288:T291">Q295+Q301+Q307+Q313+Q319+Q325+Q331+Q337+Q343</f>
        <v>1.3</v>
      </c>
      <c r="R288" s="52">
        <f t="shared" si="122"/>
        <v>0</v>
      </c>
      <c r="S288" s="52">
        <f t="shared" si="122"/>
        <v>0.91</v>
      </c>
      <c r="T288" s="52">
        <f t="shared" si="122"/>
        <v>0.39000000000000007</v>
      </c>
    </row>
    <row r="289" spans="1:20" ht="25.5">
      <c r="A289" s="873"/>
      <c r="B289" s="874"/>
      <c r="C289" s="874"/>
      <c r="D289" s="38">
        <v>2012</v>
      </c>
      <c r="E289" s="52">
        <f t="shared" si="121"/>
        <v>10.4</v>
      </c>
      <c r="F289" s="52">
        <f t="shared" si="121"/>
        <v>10.4</v>
      </c>
      <c r="G289" s="52">
        <f t="shared" si="121"/>
        <v>0</v>
      </c>
      <c r="H289" s="52">
        <f t="shared" si="121"/>
        <v>0</v>
      </c>
      <c r="I289" s="52">
        <f t="shared" si="121"/>
        <v>0</v>
      </c>
      <c r="J289" s="52">
        <f t="shared" si="121"/>
        <v>0</v>
      </c>
      <c r="K289" s="52">
        <f t="shared" si="121"/>
        <v>0</v>
      </c>
      <c r="L289" s="875"/>
      <c r="M289" s="875"/>
      <c r="N289" s="40"/>
      <c r="O289" s="81" t="s">
        <v>789</v>
      </c>
      <c r="P289" s="81"/>
      <c r="Q289" s="52">
        <f t="shared" si="122"/>
        <v>1.339</v>
      </c>
      <c r="R289" s="52">
        <f t="shared" si="122"/>
        <v>0</v>
      </c>
      <c r="S289" s="52">
        <f t="shared" si="122"/>
        <v>0.9372999999999999</v>
      </c>
      <c r="T289" s="52">
        <f t="shared" si="122"/>
        <v>0.4017</v>
      </c>
    </row>
    <row r="290" spans="1:20" ht="25.5">
      <c r="A290" s="873"/>
      <c r="B290" s="874"/>
      <c r="C290" s="874"/>
      <c r="D290" s="38">
        <v>2013</v>
      </c>
      <c r="E290" s="52">
        <f t="shared" si="121"/>
        <v>10.1</v>
      </c>
      <c r="F290" s="52">
        <f t="shared" si="121"/>
        <v>10.1</v>
      </c>
      <c r="G290" s="52">
        <f t="shared" si="121"/>
        <v>0</v>
      </c>
      <c r="H290" s="52">
        <f t="shared" si="121"/>
        <v>0</v>
      </c>
      <c r="I290" s="52">
        <f t="shared" si="121"/>
        <v>0</v>
      </c>
      <c r="J290" s="52">
        <f t="shared" si="121"/>
        <v>0</v>
      </c>
      <c r="K290" s="52">
        <f t="shared" si="121"/>
        <v>0</v>
      </c>
      <c r="L290" s="875"/>
      <c r="M290" s="875"/>
      <c r="N290" s="40"/>
      <c r="O290" s="81" t="s">
        <v>789</v>
      </c>
      <c r="P290" s="81"/>
      <c r="Q290" s="52">
        <f t="shared" si="122"/>
        <v>1.2999999999999998</v>
      </c>
      <c r="R290" s="52">
        <f t="shared" si="122"/>
        <v>0</v>
      </c>
      <c r="S290" s="52">
        <f t="shared" si="122"/>
        <v>0.9099999999999999</v>
      </c>
      <c r="T290" s="52">
        <f t="shared" si="122"/>
        <v>0.39</v>
      </c>
    </row>
    <row r="291" spans="1:20" ht="25.5">
      <c r="A291" s="873"/>
      <c r="B291" s="874"/>
      <c r="C291" s="874"/>
      <c r="D291" s="38">
        <v>2014</v>
      </c>
      <c r="E291" s="52">
        <f t="shared" si="121"/>
        <v>10.5</v>
      </c>
      <c r="F291" s="52">
        <f t="shared" si="121"/>
        <v>10.5</v>
      </c>
      <c r="G291" s="52">
        <f t="shared" si="121"/>
        <v>0</v>
      </c>
      <c r="H291" s="52">
        <f t="shared" si="121"/>
        <v>0</v>
      </c>
      <c r="I291" s="52">
        <f t="shared" si="121"/>
        <v>0</v>
      </c>
      <c r="J291" s="52">
        <f t="shared" si="121"/>
        <v>0</v>
      </c>
      <c r="K291" s="52">
        <f t="shared" si="121"/>
        <v>0</v>
      </c>
      <c r="L291" s="875"/>
      <c r="M291" s="875"/>
      <c r="N291" s="40"/>
      <c r="O291" s="81" t="s">
        <v>789</v>
      </c>
      <c r="P291" s="81"/>
      <c r="Q291" s="52">
        <f t="shared" si="122"/>
        <v>1.3519999999999999</v>
      </c>
      <c r="R291" s="52">
        <f t="shared" si="122"/>
        <v>0</v>
      </c>
      <c r="S291" s="52">
        <f t="shared" si="122"/>
        <v>0.9463999999999999</v>
      </c>
      <c r="T291" s="52">
        <f t="shared" si="122"/>
        <v>0.4056</v>
      </c>
    </row>
    <row r="292" spans="1:20" ht="25.5">
      <c r="A292" s="873"/>
      <c r="B292" s="874"/>
      <c r="C292" s="874"/>
      <c r="D292" s="38" t="s">
        <v>378</v>
      </c>
      <c r="E292" s="52">
        <f>SUM(E287:E291)</f>
        <v>50.5</v>
      </c>
      <c r="F292" s="52">
        <f aca="true" t="shared" si="123" ref="F292:K292">SUM(F287:F291)</f>
        <v>50.5</v>
      </c>
      <c r="G292" s="52">
        <f t="shared" si="123"/>
        <v>0</v>
      </c>
      <c r="H292" s="52">
        <f t="shared" si="123"/>
        <v>0</v>
      </c>
      <c r="I292" s="52">
        <f t="shared" si="123"/>
        <v>0</v>
      </c>
      <c r="J292" s="52">
        <f t="shared" si="123"/>
        <v>0</v>
      </c>
      <c r="K292" s="52">
        <f t="shared" si="123"/>
        <v>0</v>
      </c>
      <c r="L292" s="875"/>
      <c r="M292" s="875"/>
      <c r="N292" s="40"/>
      <c r="O292" s="81" t="s">
        <v>789</v>
      </c>
      <c r="P292" s="81"/>
      <c r="Q292" s="52">
        <f>SUM(Q287:Q291)</f>
        <v>6.5</v>
      </c>
      <c r="R292" s="52">
        <f>SUM(R287:R291)</f>
        <v>0</v>
      </c>
      <c r="S292" s="52">
        <f>SUM(S287:S291)</f>
        <v>4.55</v>
      </c>
      <c r="T292" s="52">
        <f>SUM(T287:T291)</f>
        <v>1.95</v>
      </c>
    </row>
    <row r="293" spans="1:20" ht="15">
      <c r="A293" s="866">
        <f>A274+1</f>
        <v>27</v>
      </c>
      <c r="B293" s="867" t="s">
        <v>464</v>
      </c>
      <c r="C293" s="868" t="s">
        <v>381</v>
      </c>
      <c r="D293" s="129" t="s">
        <v>570</v>
      </c>
      <c r="E293" s="57">
        <f aca="true" t="shared" si="124" ref="E293:K293">SUM(E294:E298)</f>
        <v>3</v>
      </c>
      <c r="F293" s="57">
        <f t="shared" si="124"/>
        <v>3</v>
      </c>
      <c r="G293" s="57">
        <f t="shared" si="124"/>
        <v>0</v>
      </c>
      <c r="H293" s="57">
        <f t="shared" si="124"/>
        <v>0</v>
      </c>
      <c r="I293" s="57">
        <f t="shared" si="124"/>
        <v>0</v>
      </c>
      <c r="J293" s="57">
        <f t="shared" si="124"/>
        <v>0</v>
      </c>
      <c r="K293" s="57">
        <f t="shared" si="124"/>
        <v>0</v>
      </c>
      <c r="L293" s="869" t="s">
        <v>543</v>
      </c>
      <c r="M293" s="869" t="s">
        <v>549</v>
      </c>
      <c r="N293" s="869"/>
      <c r="O293" s="87">
        <v>1100</v>
      </c>
      <c r="P293" s="87"/>
      <c r="Q293" s="383">
        <f>SUM(Q294:Q298)</f>
        <v>0.39</v>
      </c>
      <c r="R293" s="35">
        <f>SUM(R294:R298)</f>
        <v>0</v>
      </c>
      <c r="S293" s="253">
        <f>SUM(S294:S298)</f>
        <v>0.27299999999999996</v>
      </c>
      <c r="T293" s="253">
        <f>SUM(T294:T298)</f>
        <v>0.117</v>
      </c>
    </row>
    <row r="294" spans="1:20" ht="15">
      <c r="A294" s="866"/>
      <c r="B294" s="867"/>
      <c r="C294" s="868"/>
      <c r="D294" s="10">
        <v>2010</v>
      </c>
      <c r="E294" s="62">
        <f aca="true" t="shared" si="125" ref="E294:E346">SUM(F294:K294)</f>
        <v>0.6</v>
      </c>
      <c r="F294" s="62">
        <v>0.6</v>
      </c>
      <c r="G294" s="62"/>
      <c r="H294" s="62"/>
      <c r="I294" s="62"/>
      <c r="J294" s="62"/>
      <c r="K294" s="62"/>
      <c r="L294" s="869"/>
      <c r="M294" s="869"/>
      <c r="N294" s="869"/>
      <c r="O294" s="91">
        <v>220</v>
      </c>
      <c r="P294" s="91"/>
      <c r="Q294" s="66">
        <f>SUM(R294:T294)</f>
        <v>0.078</v>
      </c>
      <c r="R294" s="67"/>
      <c r="S294" s="110">
        <f>(E294)*0.13*0.7</f>
        <v>0.054599999999999996</v>
      </c>
      <c r="T294" s="110">
        <f>(E294)*0.13*0.3</f>
        <v>0.0234</v>
      </c>
    </row>
    <row r="295" spans="1:20" ht="15">
      <c r="A295" s="866"/>
      <c r="B295" s="867"/>
      <c r="C295" s="868"/>
      <c r="D295" s="10">
        <v>2011</v>
      </c>
      <c r="E295" s="62">
        <f t="shared" si="125"/>
        <v>0.6</v>
      </c>
      <c r="F295" s="62">
        <v>0.6</v>
      </c>
      <c r="G295" s="62"/>
      <c r="H295" s="62"/>
      <c r="I295" s="62"/>
      <c r="J295" s="62"/>
      <c r="K295" s="62"/>
      <c r="L295" s="869"/>
      <c r="M295" s="869"/>
      <c r="N295" s="869"/>
      <c r="O295" s="91">
        <v>220</v>
      </c>
      <c r="P295" s="91"/>
      <c r="Q295" s="66">
        <f>SUM(R295:T295)</f>
        <v>0.078</v>
      </c>
      <c r="R295" s="67"/>
      <c r="S295" s="110">
        <f>(E295)*0.13*0.7</f>
        <v>0.054599999999999996</v>
      </c>
      <c r="T295" s="110">
        <f>(E295)*0.13*0.3</f>
        <v>0.0234</v>
      </c>
    </row>
    <row r="296" spans="1:20" ht="15">
      <c r="A296" s="866"/>
      <c r="B296" s="867"/>
      <c r="C296" s="868"/>
      <c r="D296" s="9">
        <v>2012</v>
      </c>
      <c r="E296" s="62">
        <f t="shared" si="125"/>
        <v>0.6</v>
      </c>
      <c r="F296" s="63">
        <v>0.6</v>
      </c>
      <c r="G296" s="63"/>
      <c r="H296" s="63"/>
      <c r="I296" s="63"/>
      <c r="J296" s="63"/>
      <c r="K296" s="63"/>
      <c r="L296" s="869"/>
      <c r="M296" s="869"/>
      <c r="N296" s="869"/>
      <c r="O296" s="91">
        <v>220</v>
      </c>
      <c r="P296" s="91"/>
      <c r="Q296" s="66">
        <f>SUM(R296:T296)</f>
        <v>0.078</v>
      </c>
      <c r="R296" s="67"/>
      <c r="S296" s="110">
        <f>(E296)*0.13*0.7</f>
        <v>0.054599999999999996</v>
      </c>
      <c r="T296" s="110">
        <f>(E296)*0.13*0.3</f>
        <v>0.0234</v>
      </c>
    </row>
    <row r="297" spans="1:20" ht="15">
      <c r="A297" s="866"/>
      <c r="B297" s="867"/>
      <c r="C297" s="868"/>
      <c r="D297" s="9">
        <v>2013</v>
      </c>
      <c r="E297" s="62">
        <f t="shared" si="125"/>
        <v>0.6</v>
      </c>
      <c r="F297" s="63">
        <v>0.6</v>
      </c>
      <c r="G297" s="63"/>
      <c r="H297" s="63"/>
      <c r="I297" s="63"/>
      <c r="J297" s="63"/>
      <c r="K297" s="63"/>
      <c r="L297" s="869"/>
      <c r="M297" s="869"/>
      <c r="N297" s="869"/>
      <c r="O297" s="91">
        <v>220</v>
      </c>
      <c r="P297" s="91"/>
      <c r="Q297" s="66">
        <f>SUM(R297:T297)</f>
        <v>0.078</v>
      </c>
      <c r="R297" s="67"/>
      <c r="S297" s="110">
        <f>(E297)*0.13*0.7</f>
        <v>0.054599999999999996</v>
      </c>
      <c r="T297" s="110">
        <f>(E297)*0.13*0.3</f>
        <v>0.0234</v>
      </c>
    </row>
    <row r="298" spans="1:20" ht="15">
      <c r="A298" s="866"/>
      <c r="B298" s="867"/>
      <c r="C298" s="868"/>
      <c r="D298" s="9">
        <v>2014</v>
      </c>
      <c r="E298" s="62">
        <f t="shared" si="125"/>
        <v>0.6</v>
      </c>
      <c r="F298" s="63">
        <v>0.6</v>
      </c>
      <c r="G298" s="63"/>
      <c r="H298" s="63"/>
      <c r="I298" s="63"/>
      <c r="J298" s="63"/>
      <c r="K298" s="63"/>
      <c r="L298" s="869"/>
      <c r="M298" s="869"/>
      <c r="N298" s="869"/>
      <c r="O298" s="91">
        <v>220</v>
      </c>
      <c r="P298" s="91"/>
      <c r="Q298" s="66">
        <f>SUM(R298:T298)</f>
        <v>0.078</v>
      </c>
      <c r="R298" s="67"/>
      <c r="S298" s="110">
        <f>(E298)*0.13*0.7</f>
        <v>0.054599999999999996</v>
      </c>
      <c r="T298" s="110">
        <f>(E298)*0.13*0.3</f>
        <v>0.0234</v>
      </c>
    </row>
    <row r="299" spans="1:20" ht="15">
      <c r="A299" s="866">
        <f>A293+1</f>
        <v>28</v>
      </c>
      <c r="B299" s="867" t="s">
        <v>465</v>
      </c>
      <c r="C299" s="868" t="s">
        <v>381</v>
      </c>
      <c r="D299" s="129" t="s">
        <v>570</v>
      </c>
      <c r="E299" s="57">
        <f aca="true" t="shared" si="126" ref="E299:K299">SUM(E300:E304)</f>
        <v>3.5</v>
      </c>
      <c r="F299" s="57">
        <f t="shared" si="126"/>
        <v>3.5</v>
      </c>
      <c r="G299" s="57">
        <f t="shared" si="126"/>
        <v>0</v>
      </c>
      <c r="H299" s="57">
        <f t="shared" si="126"/>
        <v>0</v>
      </c>
      <c r="I299" s="57">
        <f t="shared" si="126"/>
        <v>0</v>
      </c>
      <c r="J299" s="57">
        <f t="shared" si="126"/>
        <v>0</v>
      </c>
      <c r="K299" s="57">
        <f t="shared" si="126"/>
        <v>0</v>
      </c>
      <c r="L299" s="869" t="s">
        <v>543</v>
      </c>
      <c r="M299" s="869" t="s">
        <v>550</v>
      </c>
      <c r="N299" s="870" t="s">
        <v>543</v>
      </c>
      <c r="O299" s="92">
        <v>500</v>
      </c>
      <c r="P299" s="92"/>
      <c r="Q299" s="383">
        <f>SUM(Q300:Q304)</f>
        <v>0.45499999999999996</v>
      </c>
      <c r="R299" s="35">
        <f>SUM(R300:R304)</f>
        <v>0</v>
      </c>
      <c r="S299" s="253">
        <f>SUM(S300:S304)</f>
        <v>0.31849999999999995</v>
      </c>
      <c r="T299" s="253">
        <f>SUM(T300:T304)</f>
        <v>0.13649999999999998</v>
      </c>
    </row>
    <row r="300" spans="1:20" ht="15">
      <c r="A300" s="866"/>
      <c r="B300" s="867"/>
      <c r="C300" s="868"/>
      <c r="D300" s="10">
        <v>2010</v>
      </c>
      <c r="E300" s="62">
        <f t="shared" si="125"/>
        <v>0.7</v>
      </c>
      <c r="F300" s="62">
        <v>0.7</v>
      </c>
      <c r="G300" s="62"/>
      <c r="H300" s="62"/>
      <c r="I300" s="62"/>
      <c r="J300" s="62"/>
      <c r="K300" s="62"/>
      <c r="L300" s="869"/>
      <c r="M300" s="869"/>
      <c r="N300" s="870"/>
      <c r="O300" s="90">
        <v>100</v>
      </c>
      <c r="P300" s="90"/>
      <c r="Q300" s="66">
        <f>SUM(R300:T300)</f>
        <v>0.091</v>
      </c>
      <c r="R300" s="67"/>
      <c r="S300" s="110">
        <f>(E300)*0.13*0.7</f>
        <v>0.06369999999999999</v>
      </c>
      <c r="T300" s="110">
        <f>(E300)*0.13*0.3</f>
        <v>0.027299999999999998</v>
      </c>
    </row>
    <row r="301" spans="1:20" ht="15">
      <c r="A301" s="866"/>
      <c r="B301" s="867"/>
      <c r="C301" s="868"/>
      <c r="D301" s="10">
        <v>2011</v>
      </c>
      <c r="E301" s="62">
        <f t="shared" si="125"/>
        <v>0.7</v>
      </c>
      <c r="F301" s="62">
        <v>0.7</v>
      </c>
      <c r="G301" s="62"/>
      <c r="H301" s="62"/>
      <c r="I301" s="62"/>
      <c r="J301" s="62"/>
      <c r="K301" s="62"/>
      <c r="L301" s="869"/>
      <c r="M301" s="869"/>
      <c r="N301" s="870"/>
      <c r="O301" s="90">
        <v>100</v>
      </c>
      <c r="P301" s="90"/>
      <c r="Q301" s="66">
        <f>SUM(R301:T301)</f>
        <v>0.091</v>
      </c>
      <c r="R301" s="67"/>
      <c r="S301" s="110">
        <f>(E301)*0.13*0.7</f>
        <v>0.06369999999999999</v>
      </c>
      <c r="T301" s="110">
        <f>(E301)*0.13*0.3</f>
        <v>0.027299999999999998</v>
      </c>
    </row>
    <row r="302" spans="1:20" ht="15">
      <c r="A302" s="866"/>
      <c r="B302" s="867"/>
      <c r="C302" s="868"/>
      <c r="D302" s="9">
        <v>2012</v>
      </c>
      <c r="E302" s="62">
        <f t="shared" si="125"/>
        <v>0.7</v>
      </c>
      <c r="F302" s="63">
        <v>0.7</v>
      </c>
      <c r="G302" s="63"/>
      <c r="H302" s="63"/>
      <c r="I302" s="63"/>
      <c r="J302" s="63"/>
      <c r="K302" s="63"/>
      <c r="L302" s="869"/>
      <c r="M302" s="869"/>
      <c r="N302" s="870"/>
      <c r="O302" s="90">
        <v>100</v>
      </c>
      <c r="P302" s="90"/>
      <c r="Q302" s="66">
        <f>SUM(R302:T302)</f>
        <v>0.091</v>
      </c>
      <c r="R302" s="67"/>
      <c r="S302" s="110">
        <f>(E302)*0.13*0.7</f>
        <v>0.06369999999999999</v>
      </c>
      <c r="T302" s="110">
        <f>(E302)*0.13*0.3</f>
        <v>0.027299999999999998</v>
      </c>
    </row>
    <row r="303" spans="1:20" ht="15">
      <c r="A303" s="866"/>
      <c r="B303" s="867"/>
      <c r="C303" s="868"/>
      <c r="D303" s="9">
        <v>2013</v>
      </c>
      <c r="E303" s="62">
        <f t="shared" si="125"/>
        <v>0.7</v>
      </c>
      <c r="F303" s="62">
        <v>0.7</v>
      </c>
      <c r="G303" s="63"/>
      <c r="H303" s="63"/>
      <c r="I303" s="63"/>
      <c r="J303" s="63"/>
      <c r="K303" s="63"/>
      <c r="L303" s="869"/>
      <c r="M303" s="869"/>
      <c r="N303" s="870"/>
      <c r="O303" s="90">
        <v>100</v>
      </c>
      <c r="P303" s="90"/>
      <c r="Q303" s="66">
        <f>SUM(R303:T303)</f>
        <v>0.091</v>
      </c>
      <c r="R303" s="67"/>
      <c r="S303" s="110">
        <f>(E303)*0.13*0.7</f>
        <v>0.06369999999999999</v>
      </c>
      <c r="T303" s="110">
        <f>(E303)*0.13*0.3</f>
        <v>0.027299999999999998</v>
      </c>
    </row>
    <row r="304" spans="1:20" ht="15">
      <c r="A304" s="866"/>
      <c r="B304" s="867"/>
      <c r="C304" s="868"/>
      <c r="D304" s="9">
        <v>2014</v>
      </c>
      <c r="E304" s="62">
        <f t="shared" si="125"/>
        <v>0.7</v>
      </c>
      <c r="F304" s="63">
        <v>0.7</v>
      </c>
      <c r="G304" s="63"/>
      <c r="H304" s="63"/>
      <c r="I304" s="63"/>
      <c r="J304" s="63"/>
      <c r="K304" s="63"/>
      <c r="L304" s="869"/>
      <c r="M304" s="869"/>
      <c r="N304" s="870"/>
      <c r="O304" s="90">
        <v>100</v>
      </c>
      <c r="P304" s="90"/>
      <c r="Q304" s="66">
        <f>SUM(R304:T304)</f>
        <v>0.091</v>
      </c>
      <c r="R304" s="67"/>
      <c r="S304" s="110">
        <f>(E304)*0.13*0.7</f>
        <v>0.06369999999999999</v>
      </c>
      <c r="T304" s="110">
        <f>(E304)*0.13*0.3</f>
        <v>0.027299999999999998</v>
      </c>
    </row>
    <row r="305" spans="1:20" ht="27" customHeight="1">
      <c r="A305" s="866">
        <f>A299+1</f>
        <v>29</v>
      </c>
      <c r="B305" s="867" t="s">
        <v>466</v>
      </c>
      <c r="C305" s="868" t="s">
        <v>381</v>
      </c>
      <c r="D305" s="129" t="s">
        <v>570</v>
      </c>
      <c r="E305" s="57">
        <f aca="true" t="shared" si="127" ref="E305:K305">SUM(E306:E310)</f>
        <v>0.5</v>
      </c>
      <c r="F305" s="57">
        <f t="shared" si="127"/>
        <v>0.5</v>
      </c>
      <c r="G305" s="57">
        <f t="shared" si="127"/>
        <v>0</v>
      </c>
      <c r="H305" s="57">
        <f t="shared" si="127"/>
        <v>0</v>
      </c>
      <c r="I305" s="57">
        <f t="shared" si="127"/>
        <v>0</v>
      </c>
      <c r="J305" s="57">
        <f t="shared" si="127"/>
        <v>0</v>
      </c>
      <c r="K305" s="57">
        <f t="shared" si="127"/>
        <v>0</v>
      </c>
      <c r="L305" s="869" t="s">
        <v>543</v>
      </c>
      <c r="M305" s="870" t="s">
        <v>551</v>
      </c>
      <c r="N305" s="870" t="s">
        <v>543</v>
      </c>
      <c r="O305" s="92">
        <v>85</v>
      </c>
      <c r="P305" s="92"/>
      <c r="Q305" s="383">
        <f>SUM(Q306:Q310)</f>
        <v>0.065</v>
      </c>
      <c r="R305" s="35">
        <f>SUM(R306:R310)</f>
        <v>0</v>
      </c>
      <c r="S305" s="253">
        <f>SUM(S306:S310)</f>
        <v>0.0455</v>
      </c>
      <c r="T305" s="253">
        <f>SUM(T306:T310)</f>
        <v>0.0195</v>
      </c>
    </row>
    <row r="306" spans="1:20" ht="37.5" customHeight="1">
      <c r="A306" s="866"/>
      <c r="B306" s="867"/>
      <c r="C306" s="868"/>
      <c r="D306" s="10">
        <v>2010</v>
      </c>
      <c r="E306" s="62">
        <f t="shared" si="125"/>
        <v>0.1</v>
      </c>
      <c r="F306" s="62">
        <v>0.1</v>
      </c>
      <c r="G306" s="62"/>
      <c r="H306" s="62"/>
      <c r="I306" s="62"/>
      <c r="J306" s="62"/>
      <c r="K306" s="62"/>
      <c r="L306" s="869"/>
      <c r="M306" s="870"/>
      <c r="N306" s="870"/>
      <c r="O306" s="90">
        <v>17</v>
      </c>
      <c r="P306" s="90"/>
      <c r="Q306" s="66">
        <f>SUM(R306:T306)</f>
        <v>0.013000000000000001</v>
      </c>
      <c r="R306" s="67"/>
      <c r="S306" s="110">
        <f>(E306)*0.13*0.7</f>
        <v>0.0091</v>
      </c>
      <c r="T306" s="110">
        <f>(E306)*0.13*0.3</f>
        <v>0.0039000000000000003</v>
      </c>
    </row>
    <row r="307" spans="1:20" ht="27" customHeight="1">
      <c r="A307" s="866"/>
      <c r="B307" s="867"/>
      <c r="C307" s="868"/>
      <c r="D307" s="10">
        <v>2011</v>
      </c>
      <c r="E307" s="62">
        <f t="shared" si="125"/>
        <v>0.1</v>
      </c>
      <c r="F307" s="62">
        <v>0.1</v>
      </c>
      <c r="G307" s="62"/>
      <c r="H307" s="62"/>
      <c r="I307" s="62"/>
      <c r="J307" s="62"/>
      <c r="K307" s="62"/>
      <c r="L307" s="869"/>
      <c r="M307" s="870"/>
      <c r="N307" s="870"/>
      <c r="O307" s="90">
        <v>17</v>
      </c>
      <c r="P307" s="90"/>
      <c r="Q307" s="66">
        <f>SUM(R307:T307)</f>
        <v>0.013000000000000001</v>
      </c>
      <c r="R307" s="67"/>
      <c r="S307" s="110">
        <f>(E307)*0.13*0.7</f>
        <v>0.0091</v>
      </c>
      <c r="T307" s="110">
        <f>(E307)*0.13*0.3</f>
        <v>0.0039000000000000003</v>
      </c>
    </row>
    <row r="308" spans="1:20" ht="28.5" customHeight="1">
      <c r="A308" s="866"/>
      <c r="B308" s="867"/>
      <c r="C308" s="868"/>
      <c r="D308" s="9">
        <v>2012</v>
      </c>
      <c r="E308" s="62">
        <f t="shared" si="125"/>
        <v>0.1</v>
      </c>
      <c r="F308" s="62">
        <v>0.1</v>
      </c>
      <c r="G308" s="63"/>
      <c r="H308" s="63"/>
      <c r="I308" s="63"/>
      <c r="J308" s="63"/>
      <c r="K308" s="63"/>
      <c r="L308" s="869"/>
      <c r="M308" s="870"/>
      <c r="N308" s="870"/>
      <c r="O308" s="90">
        <v>17</v>
      </c>
      <c r="P308" s="90"/>
      <c r="Q308" s="66">
        <f>SUM(R308:T308)</f>
        <v>0.013000000000000001</v>
      </c>
      <c r="R308" s="67"/>
      <c r="S308" s="110">
        <f>(E308)*0.13*0.7</f>
        <v>0.0091</v>
      </c>
      <c r="T308" s="110">
        <f>(E308)*0.13*0.3</f>
        <v>0.0039000000000000003</v>
      </c>
    </row>
    <row r="309" spans="1:20" ht="24" customHeight="1">
      <c r="A309" s="866"/>
      <c r="B309" s="867"/>
      <c r="C309" s="868"/>
      <c r="D309" s="9">
        <v>2013</v>
      </c>
      <c r="E309" s="62">
        <f t="shared" si="125"/>
        <v>0.1</v>
      </c>
      <c r="F309" s="62">
        <v>0.1</v>
      </c>
      <c r="G309" s="63"/>
      <c r="H309" s="63"/>
      <c r="I309" s="63"/>
      <c r="J309" s="63"/>
      <c r="K309" s="63"/>
      <c r="L309" s="869"/>
      <c r="M309" s="870"/>
      <c r="N309" s="870"/>
      <c r="O309" s="90">
        <v>17</v>
      </c>
      <c r="P309" s="90"/>
      <c r="Q309" s="66">
        <f>SUM(R309:T309)</f>
        <v>0.013000000000000001</v>
      </c>
      <c r="R309" s="67"/>
      <c r="S309" s="110">
        <f>(E309)*0.13*0.7</f>
        <v>0.0091</v>
      </c>
      <c r="T309" s="110">
        <f>(E309)*0.13*0.3</f>
        <v>0.0039000000000000003</v>
      </c>
    </row>
    <row r="310" spans="1:20" ht="25.5" customHeight="1">
      <c r="A310" s="866"/>
      <c r="B310" s="867"/>
      <c r="C310" s="868"/>
      <c r="D310" s="9">
        <v>2014</v>
      </c>
      <c r="E310" s="62">
        <f t="shared" si="125"/>
        <v>0.1</v>
      </c>
      <c r="F310" s="62">
        <v>0.1</v>
      </c>
      <c r="G310" s="63"/>
      <c r="H310" s="63"/>
      <c r="I310" s="63"/>
      <c r="J310" s="63"/>
      <c r="K310" s="63"/>
      <c r="L310" s="869"/>
      <c r="M310" s="870"/>
      <c r="N310" s="870"/>
      <c r="O310" s="90">
        <v>17</v>
      </c>
      <c r="P310" s="90"/>
      <c r="Q310" s="66">
        <f>SUM(R310:T310)</f>
        <v>0.013000000000000001</v>
      </c>
      <c r="R310" s="67"/>
      <c r="S310" s="110">
        <f>(E310)*0.13*0.7</f>
        <v>0.0091</v>
      </c>
      <c r="T310" s="110">
        <f>(E310)*0.13*0.3</f>
        <v>0.0039000000000000003</v>
      </c>
    </row>
    <row r="311" spans="1:20" ht="15">
      <c r="A311" s="866">
        <f>A305+1</f>
        <v>30</v>
      </c>
      <c r="B311" s="867" t="s">
        <v>467</v>
      </c>
      <c r="C311" s="868" t="s">
        <v>381</v>
      </c>
      <c r="D311" s="129" t="s">
        <v>570</v>
      </c>
      <c r="E311" s="57">
        <f aca="true" t="shared" si="128" ref="E311:K311">SUM(E312:E316)</f>
        <v>0.5</v>
      </c>
      <c r="F311" s="57">
        <f t="shared" si="128"/>
        <v>0.5</v>
      </c>
      <c r="G311" s="57">
        <f t="shared" si="128"/>
        <v>0</v>
      </c>
      <c r="H311" s="57">
        <f t="shared" si="128"/>
        <v>0</v>
      </c>
      <c r="I311" s="57">
        <f t="shared" si="128"/>
        <v>0</v>
      </c>
      <c r="J311" s="57">
        <f t="shared" si="128"/>
        <v>0</v>
      </c>
      <c r="K311" s="57">
        <f t="shared" si="128"/>
        <v>0</v>
      </c>
      <c r="L311" s="869" t="s">
        <v>543</v>
      </c>
      <c r="M311" s="870" t="s">
        <v>552</v>
      </c>
      <c r="N311" s="870" t="s">
        <v>543</v>
      </c>
      <c r="O311" s="92">
        <f>50</f>
        <v>50</v>
      </c>
      <c r="P311" s="92"/>
      <c r="Q311" s="383">
        <f>SUM(Q312:Q316)</f>
        <v>0.065</v>
      </c>
      <c r="R311" s="35">
        <f>SUM(R312:R316)</f>
        <v>0</v>
      </c>
      <c r="S311" s="253">
        <f>SUM(S312:S316)</f>
        <v>0.0455</v>
      </c>
      <c r="T311" s="253">
        <f>SUM(T312:T316)</f>
        <v>0.0195</v>
      </c>
    </row>
    <row r="312" spans="1:20" ht="15">
      <c r="A312" s="866"/>
      <c r="B312" s="867"/>
      <c r="C312" s="868"/>
      <c r="D312" s="10">
        <v>2010</v>
      </c>
      <c r="E312" s="62">
        <f t="shared" si="125"/>
        <v>0.1</v>
      </c>
      <c r="F312" s="62">
        <v>0.1</v>
      </c>
      <c r="G312" s="62"/>
      <c r="H312" s="62"/>
      <c r="I312" s="62"/>
      <c r="J312" s="62"/>
      <c r="K312" s="62"/>
      <c r="L312" s="869"/>
      <c r="M312" s="870"/>
      <c r="N312" s="870"/>
      <c r="O312" s="90">
        <v>10</v>
      </c>
      <c r="P312" s="90"/>
      <c r="Q312" s="66">
        <f>SUM(R312:T312)</f>
        <v>0.013000000000000001</v>
      </c>
      <c r="R312" s="67"/>
      <c r="S312" s="110">
        <f>(E312)*0.13*0.7</f>
        <v>0.0091</v>
      </c>
      <c r="T312" s="110">
        <f>(E312)*0.13*0.3</f>
        <v>0.0039000000000000003</v>
      </c>
    </row>
    <row r="313" spans="1:20" ht="15">
      <c r="A313" s="866"/>
      <c r="B313" s="867"/>
      <c r="C313" s="868"/>
      <c r="D313" s="10">
        <v>2011</v>
      </c>
      <c r="E313" s="62">
        <f t="shared" si="125"/>
        <v>0.1</v>
      </c>
      <c r="F313" s="62">
        <v>0.1</v>
      </c>
      <c r="G313" s="62"/>
      <c r="H313" s="62"/>
      <c r="I313" s="62"/>
      <c r="J313" s="62"/>
      <c r="K313" s="62"/>
      <c r="L313" s="869"/>
      <c r="M313" s="870"/>
      <c r="N313" s="870"/>
      <c r="O313" s="90">
        <v>10</v>
      </c>
      <c r="P313" s="90"/>
      <c r="Q313" s="66">
        <f>SUM(R313:T313)</f>
        <v>0.013000000000000001</v>
      </c>
      <c r="R313" s="67"/>
      <c r="S313" s="110">
        <f>(E313)*0.13*0.7</f>
        <v>0.0091</v>
      </c>
      <c r="T313" s="110">
        <f>(E313)*0.13*0.3</f>
        <v>0.0039000000000000003</v>
      </c>
    </row>
    <row r="314" spans="1:20" ht="15">
      <c r="A314" s="866"/>
      <c r="B314" s="867"/>
      <c r="C314" s="868"/>
      <c r="D314" s="9">
        <v>2012</v>
      </c>
      <c r="E314" s="62">
        <f t="shared" si="125"/>
        <v>0.1</v>
      </c>
      <c r="F314" s="62">
        <v>0.1</v>
      </c>
      <c r="G314" s="63"/>
      <c r="H314" s="63"/>
      <c r="I314" s="63"/>
      <c r="J314" s="63"/>
      <c r="K314" s="63"/>
      <c r="L314" s="869"/>
      <c r="M314" s="870"/>
      <c r="N314" s="870"/>
      <c r="O314" s="90">
        <v>10</v>
      </c>
      <c r="P314" s="90"/>
      <c r="Q314" s="66">
        <f>SUM(R314:T314)</f>
        <v>0.013000000000000001</v>
      </c>
      <c r="R314" s="67"/>
      <c r="S314" s="110">
        <f>(E314)*0.13*0.7</f>
        <v>0.0091</v>
      </c>
      <c r="T314" s="110">
        <f>(E314)*0.13*0.3</f>
        <v>0.0039000000000000003</v>
      </c>
    </row>
    <row r="315" spans="1:20" ht="15">
      <c r="A315" s="866"/>
      <c r="B315" s="867"/>
      <c r="C315" s="868"/>
      <c r="D315" s="9">
        <v>2013</v>
      </c>
      <c r="E315" s="62">
        <f t="shared" si="125"/>
        <v>0.1</v>
      </c>
      <c r="F315" s="62">
        <v>0.1</v>
      </c>
      <c r="G315" s="63"/>
      <c r="H315" s="63"/>
      <c r="I315" s="63"/>
      <c r="J315" s="63"/>
      <c r="K315" s="63"/>
      <c r="L315" s="869"/>
      <c r="M315" s="870"/>
      <c r="N315" s="870"/>
      <c r="O315" s="90">
        <v>10</v>
      </c>
      <c r="P315" s="90"/>
      <c r="Q315" s="66">
        <f>SUM(R315:T315)</f>
        <v>0.013000000000000001</v>
      </c>
      <c r="R315" s="67"/>
      <c r="S315" s="110">
        <f>(E315)*0.13*0.7</f>
        <v>0.0091</v>
      </c>
      <c r="T315" s="110">
        <f>(E315)*0.13*0.3</f>
        <v>0.0039000000000000003</v>
      </c>
    </row>
    <row r="316" spans="1:20" ht="15">
      <c r="A316" s="866"/>
      <c r="B316" s="867"/>
      <c r="C316" s="868"/>
      <c r="D316" s="9">
        <v>2014</v>
      </c>
      <c r="E316" s="62">
        <f t="shared" si="125"/>
        <v>0.1</v>
      </c>
      <c r="F316" s="62">
        <v>0.1</v>
      </c>
      <c r="G316" s="63"/>
      <c r="H316" s="63"/>
      <c r="I316" s="63"/>
      <c r="J316" s="63"/>
      <c r="K316" s="63"/>
      <c r="L316" s="869"/>
      <c r="M316" s="870"/>
      <c r="N316" s="870"/>
      <c r="O316" s="90">
        <v>10</v>
      </c>
      <c r="P316" s="90"/>
      <c r="Q316" s="66">
        <f>SUM(R316:T316)</f>
        <v>0.013000000000000001</v>
      </c>
      <c r="R316" s="67"/>
      <c r="S316" s="110">
        <f>(E316)*0.13*0.7</f>
        <v>0.0091</v>
      </c>
      <c r="T316" s="110">
        <f>(E316)*0.13*0.3</f>
        <v>0.0039000000000000003</v>
      </c>
    </row>
    <row r="317" spans="1:20" ht="15">
      <c r="A317" s="866">
        <f>A311+1</f>
        <v>31</v>
      </c>
      <c r="B317" s="867" t="s">
        <v>468</v>
      </c>
      <c r="C317" s="868" t="s">
        <v>381</v>
      </c>
      <c r="D317" s="129" t="s">
        <v>570</v>
      </c>
      <c r="E317" s="57">
        <f aca="true" t="shared" si="129" ref="E317:K317">SUM(E318:E322)</f>
        <v>2.8000000000000003</v>
      </c>
      <c r="F317" s="57">
        <f t="shared" si="129"/>
        <v>2.8000000000000003</v>
      </c>
      <c r="G317" s="57">
        <f t="shared" si="129"/>
        <v>0</v>
      </c>
      <c r="H317" s="57">
        <f t="shared" si="129"/>
        <v>0</v>
      </c>
      <c r="I317" s="57">
        <f t="shared" si="129"/>
        <v>0</v>
      </c>
      <c r="J317" s="57">
        <f t="shared" si="129"/>
        <v>0</v>
      </c>
      <c r="K317" s="57">
        <f t="shared" si="129"/>
        <v>0</v>
      </c>
      <c r="L317" s="869" t="s">
        <v>543</v>
      </c>
      <c r="M317" s="870" t="s">
        <v>553</v>
      </c>
      <c r="N317" s="870" t="s">
        <v>543</v>
      </c>
      <c r="O317" s="92">
        <v>100</v>
      </c>
      <c r="P317" s="92"/>
      <c r="Q317" s="383">
        <f>SUM(Q318:Q322)</f>
        <v>0.36400000000000005</v>
      </c>
      <c r="R317" s="35">
        <f>SUM(R318:R322)</f>
        <v>0</v>
      </c>
      <c r="S317" s="253">
        <f>SUM(S318:S322)</f>
        <v>0.25479999999999997</v>
      </c>
      <c r="T317" s="253">
        <f>SUM(T318:T322)</f>
        <v>0.1092</v>
      </c>
    </row>
    <row r="318" spans="1:20" ht="15">
      <c r="A318" s="866"/>
      <c r="B318" s="867"/>
      <c r="C318" s="868"/>
      <c r="D318" s="10">
        <v>2010</v>
      </c>
      <c r="E318" s="62">
        <f t="shared" si="125"/>
        <v>0.5</v>
      </c>
      <c r="F318" s="62">
        <v>0.5</v>
      </c>
      <c r="G318" s="62"/>
      <c r="H318" s="62"/>
      <c r="I318" s="62"/>
      <c r="J318" s="62"/>
      <c r="K318" s="62"/>
      <c r="L318" s="869"/>
      <c r="M318" s="870"/>
      <c r="N318" s="870"/>
      <c r="O318" s="90">
        <v>20</v>
      </c>
      <c r="P318" s="90"/>
      <c r="Q318" s="66">
        <f>SUM(R318:T318)</f>
        <v>0.065</v>
      </c>
      <c r="R318" s="67"/>
      <c r="S318" s="110">
        <f>(E318)*0.13*0.7</f>
        <v>0.0455</v>
      </c>
      <c r="T318" s="110">
        <f>(E318)*0.13*0.3</f>
        <v>0.0195</v>
      </c>
    </row>
    <row r="319" spans="1:20" ht="15">
      <c r="A319" s="866"/>
      <c r="B319" s="867"/>
      <c r="C319" s="868"/>
      <c r="D319" s="10">
        <v>2011</v>
      </c>
      <c r="E319" s="62">
        <f t="shared" si="125"/>
        <v>0.5</v>
      </c>
      <c r="F319" s="62">
        <v>0.5</v>
      </c>
      <c r="G319" s="62"/>
      <c r="H319" s="62"/>
      <c r="I319" s="62"/>
      <c r="J319" s="62"/>
      <c r="K319" s="62"/>
      <c r="L319" s="869"/>
      <c r="M319" s="870"/>
      <c r="N319" s="870"/>
      <c r="O319" s="90">
        <v>20</v>
      </c>
      <c r="P319" s="90"/>
      <c r="Q319" s="66">
        <f>SUM(R319:T319)</f>
        <v>0.065</v>
      </c>
      <c r="R319" s="67"/>
      <c r="S319" s="110">
        <f>(E319)*0.13*0.7</f>
        <v>0.0455</v>
      </c>
      <c r="T319" s="110">
        <f>(E319)*0.13*0.3</f>
        <v>0.0195</v>
      </c>
    </row>
    <row r="320" spans="1:20" ht="15">
      <c r="A320" s="866"/>
      <c r="B320" s="867"/>
      <c r="C320" s="868"/>
      <c r="D320" s="9">
        <v>2012</v>
      </c>
      <c r="E320" s="62">
        <f t="shared" si="125"/>
        <v>0.6</v>
      </c>
      <c r="F320" s="62">
        <v>0.6</v>
      </c>
      <c r="G320" s="63"/>
      <c r="H320" s="63"/>
      <c r="I320" s="63"/>
      <c r="J320" s="63"/>
      <c r="K320" s="63"/>
      <c r="L320" s="869"/>
      <c r="M320" s="870"/>
      <c r="N320" s="870"/>
      <c r="O320" s="90">
        <v>20</v>
      </c>
      <c r="P320" s="90"/>
      <c r="Q320" s="66">
        <f>SUM(R320:T320)</f>
        <v>0.078</v>
      </c>
      <c r="R320" s="67"/>
      <c r="S320" s="110">
        <f>(E320)*0.13*0.7</f>
        <v>0.054599999999999996</v>
      </c>
      <c r="T320" s="110">
        <f>(E320)*0.13*0.3</f>
        <v>0.0234</v>
      </c>
    </row>
    <row r="321" spans="1:20" ht="15">
      <c r="A321" s="866"/>
      <c r="B321" s="867"/>
      <c r="C321" s="868"/>
      <c r="D321" s="9">
        <v>2013</v>
      </c>
      <c r="E321" s="62">
        <f t="shared" si="125"/>
        <v>0.6</v>
      </c>
      <c r="F321" s="62">
        <v>0.6</v>
      </c>
      <c r="G321" s="63"/>
      <c r="H321" s="63"/>
      <c r="I321" s="63"/>
      <c r="J321" s="63"/>
      <c r="K321" s="63"/>
      <c r="L321" s="869"/>
      <c r="M321" s="870"/>
      <c r="N321" s="870"/>
      <c r="O321" s="90">
        <v>20</v>
      </c>
      <c r="P321" s="90"/>
      <c r="Q321" s="66">
        <f>SUM(R321:T321)</f>
        <v>0.078</v>
      </c>
      <c r="R321" s="67"/>
      <c r="S321" s="110">
        <f>(E321)*0.13*0.7</f>
        <v>0.054599999999999996</v>
      </c>
      <c r="T321" s="110">
        <f>(E321)*0.13*0.3</f>
        <v>0.0234</v>
      </c>
    </row>
    <row r="322" spans="1:20" ht="15">
      <c r="A322" s="866"/>
      <c r="B322" s="867"/>
      <c r="C322" s="868"/>
      <c r="D322" s="9">
        <v>2014</v>
      </c>
      <c r="E322" s="62">
        <f t="shared" si="125"/>
        <v>0.6</v>
      </c>
      <c r="F322" s="62">
        <v>0.6</v>
      </c>
      <c r="G322" s="63"/>
      <c r="H322" s="63"/>
      <c r="I322" s="63"/>
      <c r="J322" s="63"/>
      <c r="K322" s="63"/>
      <c r="L322" s="869"/>
      <c r="M322" s="870"/>
      <c r="N322" s="870"/>
      <c r="O322" s="90">
        <v>20</v>
      </c>
      <c r="P322" s="90"/>
      <c r="Q322" s="66">
        <f>SUM(R322:T322)</f>
        <v>0.078</v>
      </c>
      <c r="R322" s="67"/>
      <c r="S322" s="110">
        <f>(E322)*0.13*0.7</f>
        <v>0.054599999999999996</v>
      </c>
      <c r="T322" s="110">
        <f>(E322)*0.13*0.3</f>
        <v>0.0234</v>
      </c>
    </row>
    <row r="323" spans="1:20" ht="15">
      <c r="A323" s="866">
        <f>A317+1</f>
        <v>32</v>
      </c>
      <c r="B323" s="867" t="s">
        <v>469</v>
      </c>
      <c r="C323" s="868" t="s">
        <v>381</v>
      </c>
      <c r="D323" s="129" t="s">
        <v>570</v>
      </c>
      <c r="E323" s="57">
        <f aca="true" t="shared" si="130" ref="E323:K323">SUM(E324:E328)</f>
        <v>37.7</v>
      </c>
      <c r="F323" s="57">
        <f t="shared" si="130"/>
        <v>37.7</v>
      </c>
      <c r="G323" s="57">
        <f t="shared" si="130"/>
        <v>0</v>
      </c>
      <c r="H323" s="57">
        <f t="shared" si="130"/>
        <v>0</v>
      </c>
      <c r="I323" s="57">
        <f t="shared" si="130"/>
        <v>0</v>
      </c>
      <c r="J323" s="57">
        <f t="shared" si="130"/>
        <v>0</v>
      </c>
      <c r="K323" s="57">
        <f t="shared" si="130"/>
        <v>0</v>
      </c>
      <c r="L323" s="869"/>
      <c r="M323" s="870" t="s">
        <v>556</v>
      </c>
      <c r="N323" s="870"/>
      <c r="O323" s="92">
        <v>0</v>
      </c>
      <c r="P323" s="92"/>
      <c r="Q323" s="383">
        <f>SUM(Q324:Q328)</f>
        <v>4.901</v>
      </c>
      <c r="R323" s="35">
        <f>SUM(R324:R328)</f>
        <v>0</v>
      </c>
      <c r="S323" s="253">
        <f>SUM(S324:S328)</f>
        <v>3.4306999999999994</v>
      </c>
      <c r="T323" s="253">
        <f>SUM(T324:T328)</f>
        <v>1.4703</v>
      </c>
    </row>
    <row r="324" spans="1:20" ht="15">
      <c r="A324" s="866"/>
      <c r="B324" s="867"/>
      <c r="C324" s="868"/>
      <c r="D324" s="10">
        <v>2010</v>
      </c>
      <c r="E324" s="62">
        <f t="shared" si="125"/>
        <v>7.1</v>
      </c>
      <c r="F324" s="62">
        <v>7.1</v>
      </c>
      <c r="G324" s="62"/>
      <c r="H324" s="62"/>
      <c r="I324" s="62"/>
      <c r="J324" s="62"/>
      <c r="K324" s="62"/>
      <c r="L324" s="869"/>
      <c r="M324" s="870"/>
      <c r="N324" s="870"/>
      <c r="O324" s="90">
        <v>0</v>
      </c>
      <c r="P324" s="90"/>
      <c r="Q324" s="66">
        <f>SUM(R324:T324)</f>
        <v>0.9229999999999998</v>
      </c>
      <c r="R324" s="67"/>
      <c r="S324" s="110">
        <f>(E324)*0.13*0.7</f>
        <v>0.6460999999999999</v>
      </c>
      <c r="T324" s="110">
        <f>(E324)*0.13*0.3</f>
        <v>0.2769</v>
      </c>
    </row>
    <row r="325" spans="1:20" ht="15">
      <c r="A325" s="866"/>
      <c r="B325" s="867"/>
      <c r="C325" s="868"/>
      <c r="D325" s="10">
        <v>2011</v>
      </c>
      <c r="E325" s="62">
        <f t="shared" si="125"/>
        <v>7.5</v>
      </c>
      <c r="F325" s="62">
        <v>7.5</v>
      </c>
      <c r="G325" s="62"/>
      <c r="H325" s="62"/>
      <c r="I325" s="62"/>
      <c r="J325" s="62"/>
      <c r="K325" s="62"/>
      <c r="L325" s="869"/>
      <c r="M325" s="870"/>
      <c r="N325" s="870"/>
      <c r="O325" s="90">
        <v>0</v>
      </c>
      <c r="P325" s="90"/>
      <c r="Q325" s="66">
        <f>SUM(R325:T325)</f>
        <v>0.9750000000000001</v>
      </c>
      <c r="R325" s="67"/>
      <c r="S325" s="110">
        <f>(E325)*0.13*0.7</f>
        <v>0.6825</v>
      </c>
      <c r="T325" s="110">
        <f>(E325)*0.13*0.3</f>
        <v>0.29250000000000004</v>
      </c>
    </row>
    <row r="326" spans="1:20" ht="15">
      <c r="A326" s="866"/>
      <c r="B326" s="867"/>
      <c r="C326" s="868"/>
      <c r="D326" s="9">
        <v>2012</v>
      </c>
      <c r="E326" s="62">
        <f t="shared" si="125"/>
        <v>7.7</v>
      </c>
      <c r="F326" s="62">
        <v>7.7</v>
      </c>
      <c r="G326" s="63"/>
      <c r="H326" s="63"/>
      <c r="I326" s="63"/>
      <c r="J326" s="63"/>
      <c r="K326" s="63"/>
      <c r="L326" s="869"/>
      <c r="M326" s="870"/>
      <c r="N326" s="870"/>
      <c r="O326" s="90">
        <v>0</v>
      </c>
      <c r="P326" s="90"/>
      <c r="Q326" s="66">
        <f>SUM(R326:T326)</f>
        <v>1.001</v>
      </c>
      <c r="R326" s="67"/>
      <c r="S326" s="110">
        <f>(E326)*0.13*0.7</f>
        <v>0.7007</v>
      </c>
      <c r="T326" s="110">
        <f>(E326)*0.13*0.3</f>
        <v>0.3003</v>
      </c>
    </row>
    <row r="327" spans="1:20" ht="15">
      <c r="A327" s="866"/>
      <c r="B327" s="867"/>
      <c r="C327" s="868"/>
      <c r="D327" s="9">
        <v>2013</v>
      </c>
      <c r="E327" s="62">
        <f t="shared" si="125"/>
        <v>7.7</v>
      </c>
      <c r="F327" s="62">
        <v>7.7</v>
      </c>
      <c r="G327" s="63"/>
      <c r="H327" s="63"/>
      <c r="I327" s="63"/>
      <c r="J327" s="63"/>
      <c r="K327" s="63"/>
      <c r="L327" s="869"/>
      <c r="M327" s="870"/>
      <c r="N327" s="870"/>
      <c r="O327" s="90">
        <v>0</v>
      </c>
      <c r="P327" s="90"/>
      <c r="Q327" s="66">
        <f>SUM(R327:T327)</f>
        <v>1.001</v>
      </c>
      <c r="R327" s="67"/>
      <c r="S327" s="110">
        <f>(E327)*0.13*0.7</f>
        <v>0.7007</v>
      </c>
      <c r="T327" s="110">
        <f>(E327)*0.13*0.3</f>
        <v>0.3003</v>
      </c>
    </row>
    <row r="328" spans="1:20" ht="15">
      <c r="A328" s="866"/>
      <c r="B328" s="867"/>
      <c r="C328" s="868"/>
      <c r="D328" s="9">
        <v>2014</v>
      </c>
      <c r="E328" s="62">
        <f t="shared" si="125"/>
        <v>7.7</v>
      </c>
      <c r="F328" s="62">
        <v>7.7</v>
      </c>
      <c r="G328" s="63"/>
      <c r="H328" s="63"/>
      <c r="I328" s="63"/>
      <c r="J328" s="63"/>
      <c r="K328" s="63"/>
      <c r="L328" s="869"/>
      <c r="M328" s="870"/>
      <c r="N328" s="870"/>
      <c r="O328" s="90">
        <v>0</v>
      </c>
      <c r="P328" s="90"/>
      <c r="Q328" s="66">
        <f>SUM(R328:T328)</f>
        <v>1.001</v>
      </c>
      <c r="R328" s="67"/>
      <c r="S328" s="110">
        <f>(E328)*0.13*0.7</f>
        <v>0.7007</v>
      </c>
      <c r="T328" s="110">
        <f>(E328)*0.13*0.3</f>
        <v>0.3003</v>
      </c>
    </row>
    <row r="329" spans="1:20" ht="15">
      <c r="A329" s="866">
        <f>A323+1</f>
        <v>33</v>
      </c>
      <c r="B329" s="867" t="s">
        <v>656</v>
      </c>
      <c r="C329" s="868" t="s">
        <v>381</v>
      </c>
      <c r="D329" s="129" t="s">
        <v>570</v>
      </c>
      <c r="E329" s="57">
        <f aca="true" t="shared" si="131" ref="E329:K329">SUM(E330:E334)</f>
        <v>1.5</v>
      </c>
      <c r="F329" s="57">
        <f t="shared" si="131"/>
        <v>1.5</v>
      </c>
      <c r="G329" s="57">
        <f t="shared" si="131"/>
        <v>0</v>
      </c>
      <c r="H329" s="57">
        <f t="shared" si="131"/>
        <v>0</v>
      </c>
      <c r="I329" s="57">
        <f t="shared" si="131"/>
        <v>0</v>
      </c>
      <c r="J329" s="57">
        <f t="shared" si="131"/>
        <v>0</v>
      </c>
      <c r="K329" s="57">
        <f t="shared" si="131"/>
        <v>0</v>
      </c>
      <c r="L329" s="869"/>
      <c r="M329" s="870" t="s">
        <v>557</v>
      </c>
      <c r="N329" s="870"/>
      <c r="O329" s="92">
        <v>0</v>
      </c>
      <c r="P329" s="92"/>
      <c r="Q329" s="383">
        <f>SUM(Q330:Q334)</f>
        <v>0.195</v>
      </c>
      <c r="R329" s="35">
        <f>SUM(R330:R334)</f>
        <v>0</v>
      </c>
      <c r="S329" s="253">
        <f>SUM(S330:S334)</f>
        <v>0.1365</v>
      </c>
      <c r="T329" s="253">
        <f>SUM(T330:T334)</f>
        <v>0.058499999999999996</v>
      </c>
    </row>
    <row r="330" spans="1:20" ht="15">
      <c r="A330" s="866"/>
      <c r="B330" s="867"/>
      <c r="C330" s="868"/>
      <c r="D330" s="10">
        <v>2010</v>
      </c>
      <c r="E330" s="62">
        <f t="shared" si="125"/>
        <v>0.1</v>
      </c>
      <c r="F330" s="62">
        <v>0.1</v>
      </c>
      <c r="G330" s="62"/>
      <c r="H330" s="62"/>
      <c r="I330" s="62"/>
      <c r="J330" s="62"/>
      <c r="K330" s="62"/>
      <c r="L330" s="869"/>
      <c r="M330" s="870"/>
      <c r="N330" s="870"/>
      <c r="O330" s="90">
        <v>0</v>
      </c>
      <c r="P330" s="90"/>
      <c r="Q330" s="66">
        <f>SUM(R330:T330)</f>
        <v>0.013000000000000001</v>
      </c>
      <c r="R330" s="67"/>
      <c r="S330" s="110">
        <f>(E330)*0.13*0.7</f>
        <v>0.0091</v>
      </c>
      <c r="T330" s="110">
        <f>(E330)*0.13*0.3</f>
        <v>0.0039000000000000003</v>
      </c>
    </row>
    <row r="331" spans="1:20" ht="15">
      <c r="A331" s="866"/>
      <c r="B331" s="867"/>
      <c r="C331" s="868"/>
      <c r="D331" s="10">
        <v>2011</v>
      </c>
      <c r="E331" s="62">
        <f t="shared" si="125"/>
        <v>0.4</v>
      </c>
      <c r="F331" s="62">
        <v>0.4</v>
      </c>
      <c r="G331" s="62"/>
      <c r="H331" s="62"/>
      <c r="I331" s="62"/>
      <c r="J331" s="62"/>
      <c r="K331" s="62"/>
      <c r="L331" s="869"/>
      <c r="M331" s="870"/>
      <c r="N331" s="870"/>
      <c r="O331" s="90">
        <v>0</v>
      </c>
      <c r="P331" s="90"/>
      <c r="Q331" s="66">
        <f>SUM(R331:T331)</f>
        <v>0.052000000000000005</v>
      </c>
      <c r="R331" s="67"/>
      <c r="S331" s="110">
        <f>(E331)*0.13*0.7</f>
        <v>0.0364</v>
      </c>
      <c r="T331" s="110">
        <f>(E331)*0.13*0.3</f>
        <v>0.015600000000000001</v>
      </c>
    </row>
    <row r="332" spans="1:20" ht="15">
      <c r="A332" s="866"/>
      <c r="B332" s="867"/>
      <c r="C332" s="868"/>
      <c r="D332" s="9">
        <v>2012</v>
      </c>
      <c r="E332" s="62">
        <f t="shared" si="125"/>
        <v>0.4</v>
      </c>
      <c r="F332" s="62">
        <v>0.4</v>
      </c>
      <c r="G332" s="63"/>
      <c r="H332" s="63"/>
      <c r="I332" s="63"/>
      <c r="J332" s="63"/>
      <c r="K332" s="63"/>
      <c r="L332" s="869"/>
      <c r="M332" s="870"/>
      <c r="N332" s="870"/>
      <c r="O332" s="90">
        <v>0</v>
      </c>
      <c r="P332" s="90"/>
      <c r="Q332" s="66">
        <f>SUM(R332:T332)</f>
        <v>0.052000000000000005</v>
      </c>
      <c r="R332" s="67"/>
      <c r="S332" s="110">
        <f>(E332)*0.13*0.7</f>
        <v>0.0364</v>
      </c>
      <c r="T332" s="110">
        <f>(E332)*0.13*0.3</f>
        <v>0.015600000000000001</v>
      </c>
    </row>
    <row r="333" spans="1:20" ht="15">
      <c r="A333" s="866"/>
      <c r="B333" s="867"/>
      <c r="C333" s="868"/>
      <c r="D333" s="9">
        <v>2013</v>
      </c>
      <c r="E333" s="62">
        <f t="shared" si="125"/>
        <v>0.1</v>
      </c>
      <c r="F333" s="62">
        <v>0.1</v>
      </c>
      <c r="G333" s="63"/>
      <c r="H333" s="63"/>
      <c r="I333" s="63"/>
      <c r="J333" s="63"/>
      <c r="K333" s="63"/>
      <c r="L333" s="869"/>
      <c r="M333" s="870"/>
      <c r="N333" s="870"/>
      <c r="O333" s="90">
        <v>0</v>
      </c>
      <c r="P333" s="90"/>
      <c r="Q333" s="66">
        <f>SUM(R333:T333)</f>
        <v>0.013000000000000001</v>
      </c>
      <c r="R333" s="67"/>
      <c r="S333" s="110">
        <f>(E333)*0.13*0.7</f>
        <v>0.0091</v>
      </c>
      <c r="T333" s="110">
        <f>(E333)*0.13*0.3</f>
        <v>0.0039000000000000003</v>
      </c>
    </row>
    <row r="334" spans="1:20" ht="15">
      <c r="A334" s="866"/>
      <c r="B334" s="867"/>
      <c r="C334" s="868"/>
      <c r="D334" s="9">
        <v>2014</v>
      </c>
      <c r="E334" s="62">
        <f t="shared" si="125"/>
        <v>0.5</v>
      </c>
      <c r="F334" s="62">
        <v>0.5</v>
      </c>
      <c r="G334" s="63"/>
      <c r="H334" s="63"/>
      <c r="I334" s="63"/>
      <c r="J334" s="63"/>
      <c r="K334" s="63"/>
      <c r="L334" s="869"/>
      <c r="M334" s="870"/>
      <c r="N334" s="870"/>
      <c r="O334" s="90">
        <v>0</v>
      </c>
      <c r="P334" s="90"/>
      <c r="Q334" s="66">
        <f>SUM(R334:T334)</f>
        <v>0.065</v>
      </c>
      <c r="R334" s="67"/>
      <c r="S334" s="110">
        <f>(E334)*0.13*0.7</f>
        <v>0.0455</v>
      </c>
      <c r="T334" s="110">
        <f>(E334)*0.13*0.3</f>
        <v>0.0195</v>
      </c>
    </row>
    <row r="335" spans="1:20" ht="15">
      <c r="A335" s="866">
        <f>A329+1</f>
        <v>34</v>
      </c>
      <c r="B335" s="867" t="s">
        <v>657</v>
      </c>
      <c r="C335" s="868" t="s">
        <v>381</v>
      </c>
      <c r="D335" s="129" t="s">
        <v>570</v>
      </c>
      <c r="E335" s="57">
        <f aca="true" t="shared" si="132" ref="E335:K335">SUM(E336:E340)</f>
        <v>0.5</v>
      </c>
      <c r="F335" s="57">
        <f t="shared" si="132"/>
        <v>0.5</v>
      </c>
      <c r="G335" s="57">
        <f t="shared" si="132"/>
        <v>0</v>
      </c>
      <c r="H335" s="57">
        <f t="shared" si="132"/>
        <v>0</v>
      </c>
      <c r="I335" s="57">
        <f t="shared" si="132"/>
        <v>0</v>
      </c>
      <c r="J335" s="57">
        <f t="shared" si="132"/>
        <v>0</v>
      </c>
      <c r="K335" s="57">
        <f t="shared" si="132"/>
        <v>0</v>
      </c>
      <c r="L335" s="869"/>
      <c r="M335" s="870" t="s">
        <v>554</v>
      </c>
      <c r="N335" s="870"/>
      <c r="O335" s="92">
        <v>0</v>
      </c>
      <c r="P335" s="92"/>
      <c r="Q335" s="383">
        <f>SUM(Q336:Q340)</f>
        <v>0.065</v>
      </c>
      <c r="R335" s="35">
        <f>SUM(R336:R340)</f>
        <v>0</v>
      </c>
      <c r="S335" s="253">
        <f>SUM(S336:S340)</f>
        <v>0.0455</v>
      </c>
      <c r="T335" s="253">
        <f>SUM(T336:T340)</f>
        <v>0.0195</v>
      </c>
    </row>
    <row r="336" spans="1:20" ht="15">
      <c r="A336" s="866"/>
      <c r="B336" s="867"/>
      <c r="C336" s="868"/>
      <c r="D336" s="10">
        <v>2010</v>
      </c>
      <c r="E336" s="62">
        <f t="shared" si="125"/>
        <v>0.1</v>
      </c>
      <c r="F336" s="62">
        <v>0.1</v>
      </c>
      <c r="G336" s="62"/>
      <c r="H336" s="62"/>
      <c r="I336" s="62"/>
      <c r="J336" s="62"/>
      <c r="K336" s="62"/>
      <c r="L336" s="869"/>
      <c r="M336" s="870"/>
      <c r="N336" s="870"/>
      <c r="O336" s="90">
        <v>0</v>
      </c>
      <c r="P336" s="90"/>
      <c r="Q336" s="66">
        <f>SUM(R336:T336)</f>
        <v>0.013000000000000001</v>
      </c>
      <c r="R336" s="67"/>
      <c r="S336" s="110">
        <f>(E336)*0.13*0.7</f>
        <v>0.0091</v>
      </c>
      <c r="T336" s="110">
        <f>(E336)*0.13*0.3</f>
        <v>0.0039000000000000003</v>
      </c>
    </row>
    <row r="337" spans="1:20" ht="15">
      <c r="A337" s="866"/>
      <c r="B337" s="867"/>
      <c r="C337" s="868"/>
      <c r="D337" s="10">
        <v>2011</v>
      </c>
      <c r="E337" s="62">
        <f t="shared" si="125"/>
        <v>0.1</v>
      </c>
      <c r="F337" s="62">
        <v>0.1</v>
      </c>
      <c r="G337" s="62"/>
      <c r="H337" s="62"/>
      <c r="I337" s="62"/>
      <c r="J337" s="62"/>
      <c r="K337" s="62"/>
      <c r="L337" s="869"/>
      <c r="M337" s="870"/>
      <c r="N337" s="870"/>
      <c r="O337" s="90">
        <v>0</v>
      </c>
      <c r="P337" s="90"/>
      <c r="Q337" s="66">
        <f>SUM(R337:T337)</f>
        <v>0.013000000000000001</v>
      </c>
      <c r="R337" s="67"/>
      <c r="S337" s="110">
        <f>(E337)*0.13*0.7</f>
        <v>0.0091</v>
      </c>
      <c r="T337" s="110">
        <f>(E337)*0.13*0.3</f>
        <v>0.0039000000000000003</v>
      </c>
    </row>
    <row r="338" spans="1:20" ht="15">
      <c r="A338" s="866"/>
      <c r="B338" s="867"/>
      <c r="C338" s="868"/>
      <c r="D338" s="9">
        <v>2012</v>
      </c>
      <c r="E338" s="62">
        <f t="shared" si="125"/>
        <v>0.1</v>
      </c>
      <c r="F338" s="62">
        <v>0.1</v>
      </c>
      <c r="G338" s="63"/>
      <c r="H338" s="63"/>
      <c r="I338" s="63"/>
      <c r="J338" s="63"/>
      <c r="K338" s="63"/>
      <c r="L338" s="869"/>
      <c r="M338" s="870"/>
      <c r="N338" s="870"/>
      <c r="O338" s="90">
        <v>0</v>
      </c>
      <c r="P338" s="90"/>
      <c r="Q338" s="66">
        <f>SUM(R338:T338)</f>
        <v>0.013000000000000001</v>
      </c>
      <c r="R338" s="67"/>
      <c r="S338" s="110">
        <f>(E338)*0.13*0.7</f>
        <v>0.0091</v>
      </c>
      <c r="T338" s="110">
        <f>(E338)*0.13*0.3</f>
        <v>0.0039000000000000003</v>
      </c>
    </row>
    <row r="339" spans="1:20" ht="15">
      <c r="A339" s="866"/>
      <c r="B339" s="867"/>
      <c r="C339" s="868"/>
      <c r="D339" s="9">
        <v>2013</v>
      </c>
      <c r="E339" s="62">
        <f t="shared" si="125"/>
        <v>0.1</v>
      </c>
      <c r="F339" s="62">
        <v>0.1</v>
      </c>
      <c r="G339" s="63"/>
      <c r="H339" s="63"/>
      <c r="I339" s="63"/>
      <c r="J339" s="63"/>
      <c r="K339" s="63"/>
      <c r="L339" s="869"/>
      <c r="M339" s="870"/>
      <c r="N339" s="870"/>
      <c r="O339" s="90">
        <v>0</v>
      </c>
      <c r="P339" s="90"/>
      <c r="Q339" s="66">
        <f>SUM(R339:T339)</f>
        <v>0.013000000000000001</v>
      </c>
      <c r="R339" s="67"/>
      <c r="S339" s="110">
        <f>(E339)*0.13*0.7</f>
        <v>0.0091</v>
      </c>
      <c r="T339" s="110">
        <f>(E339)*0.13*0.3</f>
        <v>0.0039000000000000003</v>
      </c>
    </row>
    <row r="340" spans="1:20" ht="15">
      <c r="A340" s="866"/>
      <c r="B340" s="867"/>
      <c r="C340" s="868"/>
      <c r="D340" s="9">
        <v>2014</v>
      </c>
      <c r="E340" s="62">
        <f t="shared" si="125"/>
        <v>0.1</v>
      </c>
      <c r="F340" s="62">
        <v>0.1</v>
      </c>
      <c r="G340" s="63"/>
      <c r="H340" s="63"/>
      <c r="I340" s="63"/>
      <c r="J340" s="63"/>
      <c r="K340" s="63"/>
      <c r="L340" s="869"/>
      <c r="M340" s="870"/>
      <c r="N340" s="870"/>
      <c r="O340" s="90">
        <v>0</v>
      </c>
      <c r="P340" s="90"/>
      <c r="Q340" s="66">
        <f>SUM(R340:T340)</f>
        <v>0.013000000000000001</v>
      </c>
      <c r="R340" s="67"/>
      <c r="S340" s="110">
        <f>(E340)*0.13*0.7</f>
        <v>0.0091</v>
      </c>
      <c r="T340" s="110">
        <f>(E340)*0.13*0.3</f>
        <v>0.0039000000000000003</v>
      </c>
    </row>
    <row r="341" spans="1:20" ht="15">
      <c r="A341" s="866">
        <f>A335+1</f>
        <v>35</v>
      </c>
      <c r="B341" s="867" t="s">
        <v>658</v>
      </c>
      <c r="C341" s="868" t="s">
        <v>381</v>
      </c>
      <c r="D341" s="129" t="s">
        <v>570</v>
      </c>
      <c r="E341" s="57">
        <f aca="true" t="shared" si="133" ref="E341:K341">SUM(E342:E346)</f>
        <v>0.5</v>
      </c>
      <c r="F341" s="57">
        <f t="shared" si="133"/>
        <v>0.5</v>
      </c>
      <c r="G341" s="57">
        <f t="shared" si="133"/>
        <v>0</v>
      </c>
      <c r="H341" s="57">
        <f t="shared" si="133"/>
        <v>0</v>
      </c>
      <c r="I341" s="57">
        <f t="shared" si="133"/>
        <v>0</v>
      </c>
      <c r="J341" s="57">
        <f t="shared" si="133"/>
        <v>0</v>
      </c>
      <c r="K341" s="57">
        <f t="shared" si="133"/>
        <v>0</v>
      </c>
      <c r="L341" s="869"/>
      <c r="M341" s="870" t="s">
        <v>555</v>
      </c>
      <c r="N341" s="870"/>
      <c r="O341" s="92">
        <v>0</v>
      </c>
      <c r="P341" s="92"/>
      <c r="Q341" s="35">
        <f>SUM(Q342:Q346)</f>
        <v>0</v>
      </c>
      <c r="R341" s="35">
        <f>SUM(R342:R346)</f>
        <v>0</v>
      </c>
      <c r="S341" s="253">
        <f>SUM(S342:S346)</f>
        <v>0</v>
      </c>
      <c r="T341" s="253">
        <f>SUM(T342:T346)</f>
        <v>0</v>
      </c>
    </row>
    <row r="342" spans="1:20" ht="15">
      <c r="A342" s="866"/>
      <c r="B342" s="867"/>
      <c r="C342" s="868"/>
      <c r="D342" s="10">
        <v>2010</v>
      </c>
      <c r="E342" s="62">
        <f t="shared" si="125"/>
        <v>0.1</v>
      </c>
      <c r="F342" s="62">
        <v>0.1</v>
      </c>
      <c r="G342" s="62"/>
      <c r="H342" s="62"/>
      <c r="I342" s="62"/>
      <c r="J342" s="62"/>
      <c r="K342" s="62"/>
      <c r="L342" s="869"/>
      <c r="M342" s="870"/>
      <c r="N342" s="870"/>
      <c r="O342" s="90">
        <v>0</v>
      </c>
      <c r="P342" s="90"/>
      <c r="Q342" s="64">
        <v>0</v>
      </c>
      <c r="R342" s="64"/>
      <c r="S342" s="64"/>
      <c r="T342" s="64"/>
    </row>
    <row r="343" spans="1:20" ht="15">
      <c r="A343" s="866"/>
      <c r="B343" s="867"/>
      <c r="C343" s="868"/>
      <c r="D343" s="10">
        <v>2011</v>
      </c>
      <c r="E343" s="62">
        <f t="shared" si="125"/>
        <v>0.1</v>
      </c>
      <c r="F343" s="62">
        <v>0.1</v>
      </c>
      <c r="G343" s="62"/>
      <c r="H343" s="62"/>
      <c r="I343" s="62"/>
      <c r="J343" s="62"/>
      <c r="K343" s="62"/>
      <c r="L343" s="869"/>
      <c r="M343" s="870"/>
      <c r="N343" s="870"/>
      <c r="O343" s="90">
        <v>0</v>
      </c>
      <c r="P343" s="90"/>
      <c r="Q343" s="64">
        <v>0</v>
      </c>
      <c r="R343" s="64"/>
      <c r="S343" s="64"/>
      <c r="T343" s="64"/>
    </row>
    <row r="344" spans="1:20" ht="15">
      <c r="A344" s="866"/>
      <c r="B344" s="867"/>
      <c r="C344" s="868"/>
      <c r="D344" s="9">
        <v>2012</v>
      </c>
      <c r="E344" s="62">
        <f t="shared" si="125"/>
        <v>0.1</v>
      </c>
      <c r="F344" s="62">
        <v>0.1</v>
      </c>
      <c r="G344" s="63"/>
      <c r="H344" s="63"/>
      <c r="I344" s="63"/>
      <c r="J344" s="63"/>
      <c r="K344" s="63"/>
      <c r="L344" s="869"/>
      <c r="M344" s="870"/>
      <c r="N344" s="870"/>
      <c r="O344" s="90">
        <v>0</v>
      </c>
      <c r="P344" s="90"/>
      <c r="Q344" s="64">
        <v>0</v>
      </c>
      <c r="R344" s="64"/>
      <c r="S344" s="64"/>
      <c r="T344" s="64"/>
    </row>
    <row r="345" spans="1:20" ht="15">
      <c r="A345" s="866"/>
      <c r="B345" s="867"/>
      <c r="C345" s="868"/>
      <c r="D345" s="9">
        <v>2013</v>
      </c>
      <c r="E345" s="62">
        <f t="shared" si="125"/>
        <v>0.1</v>
      </c>
      <c r="F345" s="62">
        <v>0.1</v>
      </c>
      <c r="G345" s="63"/>
      <c r="H345" s="63"/>
      <c r="I345" s="63"/>
      <c r="J345" s="63"/>
      <c r="K345" s="63"/>
      <c r="L345" s="869"/>
      <c r="M345" s="870"/>
      <c r="N345" s="870"/>
      <c r="O345" s="90">
        <v>0</v>
      </c>
      <c r="P345" s="90"/>
      <c r="Q345" s="64">
        <v>0</v>
      </c>
      <c r="R345" s="64"/>
      <c r="S345" s="64"/>
      <c r="T345" s="64"/>
    </row>
    <row r="346" spans="1:20" ht="15">
      <c r="A346" s="866"/>
      <c r="B346" s="867"/>
      <c r="C346" s="868"/>
      <c r="D346" s="9">
        <v>2014</v>
      </c>
      <c r="E346" s="62">
        <f t="shared" si="125"/>
        <v>0.1</v>
      </c>
      <c r="F346" s="62">
        <v>0.1</v>
      </c>
      <c r="G346" s="63"/>
      <c r="H346" s="63"/>
      <c r="I346" s="63"/>
      <c r="J346" s="63"/>
      <c r="K346" s="63"/>
      <c r="L346" s="869"/>
      <c r="M346" s="870"/>
      <c r="N346" s="870"/>
      <c r="O346" s="90">
        <v>0</v>
      </c>
      <c r="P346" s="90"/>
      <c r="Q346" s="64">
        <v>0</v>
      </c>
      <c r="R346" s="64"/>
      <c r="S346" s="64"/>
      <c r="T346" s="64"/>
    </row>
    <row r="347" spans="1:20" ht="15.75">
      <c r="A347" s="269"/>
      <c r="B347" s="276" t="s">
        <v>655</v>
      </c>
      <c r="C347" s="104"/>
      <c r="D347" s="28"/>
      <c r="E347" s="108"/>
      <c r="F347" s="108"/>
      <c r="G347" s="109"/>
      <c r="H347" s="108"/>
      <c r="I347" s="108"/>
      <c r="J347" s="109"/>
      <c r="K347" s="109"/>
      <c r="L347" s="376"/>
      <c r="M347" s="105"/>
      <c r="N347" s="105"/>
      <c r="O347" s="106"/>
      <c r="P347" s="106"/>
      <c r="Q347" s="105"/>
      <c r="R347" s="105"/>
      <c r="S347" s="105"/>
      <c r="T347" s="105"/>
    </row>
    <row r="348" spans="1:20" ht="15.75">
      <c r="A348" s="19" t="s">
        <v>434</v>
      </c>
      <c r="B348" s="865" t="s">
        <v>54</v>
      </c>
      <c r="C348" s="865"/>
      <c r="D348" s="865"/>
      <c r="E348" s="865"/>
      <c r="F348" s="865"/>
      <c r="G348" s="865"/>
      <c r="H348" s="865"/>
      <c r="I348" s="865"/>
      <c r="J348" s="865"/>
      <c r="K348" s="865"/>
      <c r="L348" s="865"/>
      <c r="M348" s="865"/>
      <c r="N348" s="865"/>
      <c r="O348" s="865"/>
      <c r="P348" s="865"/>
      <c r="Q348" s="865"/>
      <c r="R348" s="865"/>
      <c r="S348" s="865"/>
      <c r="T348" s="865"/>
    </row>
  </sheetData>
  <sheetProtection/>
  <mergeCells count="299">
    <mergeCell ref="I1:J1"/>
    <mergeCell ref="Q1:T1"/>
    <mergeCell ref="A2:T2"/>
    <mergeCell ref="R3:T3"/>
    <mergeCell ref="A4:A5"/>
    <mergeCell ref="B4:B5"/>
    <mergeCell ref="C4:C5"/>
    <mergeCell ref="D4:D5"/>
    <mergeCell ref="O4:O5"/>
    <mergeCell ref="P4:P5"/>
    <mergeCell ref="Q4:T4"/>
    <mergeCell ref="E4:K4"/>
    <mergeCell ref="L4:L5"/>
    <mergeCell ref="M4:M5"/>
    <mergeCell ref="N4:N5"/>
    <mergeCell ref="N15:N20"/>
    <mergeCell ref="A12:T12"/>
    <mergeCell ref="A6:A11"/>
    <mergeCell ref="B6:C11"/>
    <mergeCell ref="L6:L11"/>
    <mergeCell ref="M6:M11"/>
    <mergeCell ref="L28:L33"/>
    <mergeCell ref="A22:A27"/>
    <mergeCell ref="B22:C27"/>
    <mergeCell ref="L22:L27"/>
    <mergeCell ref="A14:T14"/>
    <mergeCell ref="A15:A20"/>
    <mergeCell ref="B15:B20"/>
    <mergeCell ref="C15:C20"/>
    <mergeCell ref="L15:L20"/>
    <mergeCell ref="M15:M20"/>
    <mergeCell ref="A124:T124"/>
    <mergeCell ref="A116:T116"/>
    <mergeCell ref="A98:A103"/>
    <mergeCell ref="B98:B103"/>
    <mergeCell ref="C98:C103"/>
    <mergeCell ref="L98:L103"/>
    <mergeCell ref="M98:M103"/>
    <mergeCell ref="A110:A115"/>
    <mergeCell ref="B110:B115"/>
    <mergeCell ref="A117:T117"/>
    <mergeCell ref="A118:A123"/>
    <mergeCell ref="B118:C123"/>
    <mergeCell ref="L118:L123"/>
    <mergeCell ref="M118:M123"/>
    <mergeCell ref="L133:L138"/>
    <mergeCell ref="M133:M138"/>
    <mergeCell ref="M125:M130"/>
    <mergeCell ref="A131:T131"/>
    <mergeCell ref="A125:A130"/>
    <mergeCell ref="M140:M145"/>
    <mergeCell ref="A176:A181"/>
    <mergeCell ref="B176:B181"/>
    <mergeCell ref="C176:C181"/>
    <mergeCell ref="B170:B175"/>
    <mergeCell ref="L170:L175"/>
    <mergeCell ref="A164:A169"/>
    <mergeCell ref="B164:B169"/>
    <mergeCell ref="L182:L187"/>
    <mergeCell ref="A170:A175"/>
    <mergeCell ref="B140:C145"/>
    <mergeCell ref="L140:L145"/>
    <mergeCell ref="A152:A157"/>
    <mergeCell ref="B152:B157"/>
    <mergeCell ref="L152:L157"/>
    <mergeCell ref="M28:M33"/>
    <mergeCell ref="A28:A33"/>
    <mergeCell ref="B28:B33"/>
    <mergeCell ref="C28:C33"/>
    <mergeCell ref="A188:T188"/>
    <mergeCell ref="M164:M169"/>
    <mergeCell ref="M170:M175"/>
    <mergeCell ref="M176:M181"/>
    <mergeCell ref="L176:L181"/>
    <mergeCell ref="A182:A187"/>
    <mergeCell ref="A189:A194"/>
    <mergeCell ref="B189:C194"/>
    <mergeCell ref="L189:L194"/>
    <mergeCell ref="M189:M194"/>
    <mergeCell ref="A21:T21"/>
    <mergeCell ref="M41:M46"/>
    <mergeCell ref="A34:T34"/>
    <mergeCell ref="A35:A40"/>
    <mergeCell ref="B35:C40"/>
    <mergeCell ref="L35:L40"/>
    <mergeCell ref="A47:A52"/>
    <mergeCell ref="B47:B52"/>
    <mergeCell ref="C47:C52"/>
    <mergeCell ref="M35:M40"/>
    <mergeCell ref="A41:A46"/>
    <mergeCell ref="B41:B46"/>
    <mergeCell ref="C41:C46"/>
    <mergeCell ref="L41:L46"/>
    <mergeCell ref="M47:M52"/>
    <mergeCell ref="L47:L52"/>
    <mergeCell ref="A53:A58"/>
    <mergeCell ref="B53:B58"/>
    <mergeCell ref="C53:C58"/>
    <mergeCell ref="L53:L58"/>
    <mergeCell ref="M53:M58"/>
    <mergeCell ref="A66:A71"/>
    <mergeCell ref="B66:B71"/>
    <mergeCell ref="A59:T59"/>
    <mergeCell ref="A60:A65"/>
    <mergeCell ref="B60:C65"/>
    <mergeCell ref="A72:T72"/>
    <mergeCell ref="M79:M84"/>
    <mergeCell ref="L60:L65"/>
    <mergeCell ref="M60:M65"/>
    <mergeCell ref="C66:C71"/>
    <mergeCell ref="L66:L71"/>
    <mergeCell ref="M66:M71"/>
    <mergeCell ref="M73:M78"/>
    <mergeCell ref="A79:A84"/>
    <mergeCell ref="B79:B84"/>
    <mergeCell ref="L110:L115"/>
    <mergeCell ref="L91:L96"/>
    <mergeCell ref="C79:C84"/>
    <mergeCell ref="L79:L84"/>
    <mergeCell ref="A73:A78"/>
    <mergeCell ref="B73:B78"/>
    <mergeCell ref="C73:C78"/>
    <mergeCell ref="L73:L78"/>
    <mergeCell ref="C110:C115"/>
    <mergeCell ref="A97:T97"/>
    <mergeCell ref="B125:B130"/>
    <mergeCell ref="C125:C130"/>
    <mergeCell ref="L125:L130"/>
    <mergeCell ref="M110:M115"/>
    <mergeCell ref="A85:A90"/>
    <mergeCell ref="B85:B90"/>
    <mergeCell ref="C85:C90"/>
    <mergeCell ref="L85:L90"/>
    <mergeCell ref="M85:M90"/>
    <mergeCell ref="M91:M96"/>
    <mergeCell ref="A91:A96"/>
    <mergeCell ref="B91:B96"/>
    <mergeCell ref="C91:C96"/>
    <mergeCell ref="M104:M109"/>
    <mergeCell ref="N104:O109"/>
    <mergeCell ref="L104:L109"/>
    <mergeCell ref="C104:C109"/>
    <mergeCell ref="A104:A109"/>
    <mergeCell ref="B104:B109"/>
    <mergeCell ref="A132:T132"/>
    <mergeCell ref="A133:A138"/>
    <mergeCell ref="B133:C138"/>
    <mergeCell ref="C146:C151"/>
    <mergeCell ref="L146:L151"/>
    <mergeCell ref="M146:M151"/>
    <mergeCell ref="A146:A151"/>
    <mergeCell ref="B146:B151"/>
    <mergeCell ref="A140:A145"/>
    <mergeCell ref="A139:T139"/>
    <mergeCell ref="M182:M187"/>
    <mergeCell ref="A158:A163"/>
    <mergeCell ref="B158:B163"/>
    <mergeCell ref="L158:L163"/>
    <mergeCell ref="M158:M163"/>
    <mergeCell ref="L164:L169"/>
    <mergeCell ref="C152:C175"/>
    <mergeCell ref="M152:M157"/>
    <mergeCell ref="B182:B187"/>
    <mergeCell ref="C182:C187"/>
    <mergeCell ref="M195:M200"/>
    <mergeCell ref="M213:M218"/>
    <mergeCell ref="A207:A212"/>
    <mergeCell ref="B207:B212"/>
    <mergeCell ref="C207:C212"/>
    <mergeCell ref="L195:L200"/>
    <mergeCell ref="A195:A200"/>
    <mergeCell ref="B195:B200"/>
    <mergeCell ref="C195:C200"/>
    <mergeCell ref="C213:C218"/>
    <mergeCell ref="L201:L206"/>
    <mergeCell ref="M201:M206"/>
    <mergeCell ref="A201:A206"/>
    <mergeCell ref="C226:C231"/>
    <mergeCell ref="C201:C206"/>
    <mergeCell ref="A219:T219"/>
    <mergeCell ref="A220:A225"/>
    <mergeCell ref="B220:C225"/>
    <mergeCell ref="L220:L225"/>
    <mergeCell ref="B201:B206"/>
    <mergeCell ref="M220:M225"/>
    <mergeCell ref="M207:M212"/>
    <mergeCell ref="A213:A218"/>
    <mergeCell ref="B213:B218"/>
    <mergeCell ref="L213:L218"/>
    <mergeCell ref="L207:L212"/>
    <mergeCell ref="L232:L237"/>
    <mergeCell ref="M232:M237"/>
    <mergeCell ref="A226:A231"/>
    <mergeCell ref="B226:B231"/>
    <mergeCell ref="L226:L231"/>
    <mergeCell ref="M226:M231"/>
    <mergeCell ref="A232:A237"/>
    <mergeCell ref="B232:B237"/>
    <mergeCell ref="C232:C237"/>
    <mergeCell ref="B274:B279"/>
    <mergeCell ref="L274:L279"/>
    <mergeCell ref="M274:M279"/>
    <mergeCell ref="L238:L243"/>
    <mergeCell ref="A250:T250"/>
    <mergeCell ref="A251:A254"/>
    <mergeCell ref="L252:L254"/>
    <mergeCell ref="M238:M243"/>
    <mergeCell ref="A244:A249"/>
    <mergeCell ref="B244:B249"/>
    <mergeCell ref="L244:L249"/>
    <mergeCell ref="M244:M249"/>
    <mergeCell ref="A238:A243"/>
    <mergeCell ref="B238:B243"/>
    <mergeCell ref="C244:C249"/>
    <mergeCell ref="C238:C243"/>
    <mergeCell ref="B251:B254"/>
    <mergeCell ref="C251:C254"/>
    <mergeCell ref="M251:M254"/>
    <mergeCell ref="N251:N254"/>
    <mergeCell ref="A255:T255"/>
    <mergeCell ref="A256:A261"/>
    <mergeCell ref="B256:C261"/>
    <mergeCell ref="L256:L261"/>
    <mergeCell ref="M256:M261"/>
    <mergeCell ref="M262:M267"/>
    <mergeCell ref="A262:A267"/>
    <mergeCell ref="B262:B267"/>
    <mergeCell ref="C262:C279"/>
    <mergeCell ref="L262:L267"/>
    <mergeCell ref="A268:A273"/>
    <mergeCell ref="B268:B273"/>
    <mergeCell ref="L268:L273"/>
    <mergeCell ref="M268:M273"/>
    <mergeCell ref="A274:A279"/>
    <mergeCell ref="L280:L285"/>
    <mergeCell ref="A286:T286"/>
    <mergeCell ref="A287:A292"/>
    <mergeCell ref="B287:C292"/>
    <mergeCell ref="L287:L292"/>
    <mergeCell ref="M287:M292"/>
    <mergeCell ref="M280:M285"/>
    <mergeCell ref="A280:A285"/>
    <mergeCell ref="B280:B285"/>
    <mergeCell ref="C280:C285"/>
    <mergeCell ref="A299:A304"/>
    <mergeCell ref="B299:B304"/>
    <mergeCell ref="C299:C304"/>
    <mergeCell ref="L299:L304"/>
    <mergeCell ref="A293:A298"/>
    <mergeCell ref="B293:B298"/>
    <mergeCell ref="C293:C298"/>
    <mergeCell ref="L293:L298"/>
    <mergeCell ref="M293:M298"/>
    <mergeCell ref="N293:N298"/>
    <mergeCell ref="M299:M304"/>
    <mergeCell ref="N299:N304"/>
    <mergeCell ref="M305:M310"/>
    <mergeCell ref="N305:N310"/>
    <mergeCell ref="M311:M316"/>
    <mergeCell ref="N311:N316"/>
    <mergeCell ref="A305:A310"/>
    <mergeCell ref="B305:B310"/>
    <mergeCell ref="A311:A316"/>
    <mergeCell ref="B311:B316"/>
    <mergeCell ref="C311:C316"/>
    <mergeCell ref="L311:L316"/>
    <mergeCell ref="C305:C310"/>
    <mergeCell ref="L305:L310"/>
    <mergeCell ref="A323:A328"/>
    <mergeCell ref="B323:B328"/>
    <mergeCell ref="C323:C328"/>
    <mergeCell ref="L323:L328"/>
    <mergeCell ref="A317:A322"/>
    <mergeCell ref="B317:B322"/>
    <mergeCell ref="C317:C322"/>
    <mergeCell ref="L317:L322"/>
    <mergeCell ref="M317:M322"/>
    <mergeCell ref="N317:N322"/>
    <mergeCell ref="M323:M328"/>
    <mergeCell ref="N323:N328"/>
    <mergeCell ref="M329:M334"/>
    <mergeCell ref="N329:N334"/>
    <mergeCell ref="M335:M340"/>
    <mergeCell ref="N335:N340"/>
    <mergeCell ref="A329:A334"/>
    <mergeCell ref="B329:B334"/>
    <mergeCell ref="A335:A340"/>
    <mergeCell ref="B335:B340"/>
    <mergeCell ref="C335:C340"/>
    <mergeCell ref="L335:L340"/>
    <mergeCell ref="C329:C334"/>
    <mergeCell ref="L329:L334"/>
    <mergeCell ref="B348:T348"/>
    <mergeCell ref="M341:M346"/>
    <mergeCell ref="N341:N346"/>
    <mergeCell ref="A341:A346"/>
    <mergeCell ref="B341:B346"/>
    <mergeCell ref="C341:C346"/>
    <mergeCell ref="L341:L346"/>
  </mergeCells>
  <printOptions/>
  <pageMargins left="0.1968503937007874" right="0.1968503937007874" top="0.15748031496062992" bottom="0.1968503937007874" header="0.15748031496062992" footer="0.2362204724409449"/>
  <pageSetup horizontalDpi="600" verticalDpi="600" orientation="landscape" paperSize="9" scale="59" r:id="rId3"/>
  <headerFooter alignWithMargins="0">
    <oddFooter>&amp;R&amp;P</oddFooter>
  </headerFooter>
  <rowBreaks count="6" manualBreakCount="6">
    <brk id="44" max="19" man="1"/>
    <brk id="90" max="19" man="1"/>
    <brk id="123" max="19" man="1"/>
    <brk id="159" max="19" man="1"/>
    <brk id="187" max="19" man="1"/>
    <brk id="304" max="19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W40"/>
  <sheetViews>
    <sheetView zoomScale="75" zoomScaleNormal="75" zoomScalePageLayoutView="0" workbookViewId="0" topLeftCell="A1">
      <pane ySplit="5" topLeftCell="A18" activePane="bottomLeft" state="frozen"/>
      <selection pane="topLeft" activeCell="A192" sqref="A192:T192"/>
      <selection pane="bottomLeft" activeCell="A192" sqref="A192:T192"/>
    </sheetView>
  </sheetViews>
  <sheetFormatPr defaultColWidth="9.00390625" defaultRowHeight="12.75"/>
  <cols>
    <col min="1" max="1" width="5.00390625" style="185" hidden="1" customWidth="1"/>
    <col min="2" max="2" width="7.25390625" style="185" customWidth="1"/>
    <col min="3" max="3" width="45.625" style="186" customWidth="1"/>
    <col min="4" max="4" width="7.75390625" style="187" customWidth="1"/>
    <col min="5" max="5" width="15.75390625" style="187" customWidth="1"/>
    <col min="6" max="6" width="13.75390625" style="188" bestFit="1" customWidth="1"/>
    <col min="7" max="7" width="12.375" style="188" customWidth="1"/>
    <col min="8" max="8" width="12.125" style="188" customWidth="1"/>
    <col min="9" max="9" width="12.00390625" style="188" customWidth="1"/>
    <col min="10" max="10" width="11.875" style="188" customWidth="1"/>
    <col min="11" max="11" width="12.75390625" style="188" customWidth="1"/>
    <col min="12" max="12" width="14.00390625" style="189" customWidth="1"/>
    <col min="13" max="13" width="13.75390625" style="189" bestFit="1" customWidth="1"/>
    <col min="14" max="14" width="13.25390625" style="189" hidden="1" customWidth="1"/>
    <col min="15" max="15" width="11.375" style="189" hidden="1" customWidth="1"/>
    <col min="16" max="16" width="0" style="189" hidden="1" customWidth="1"/>
    <col min="17" max="17" width="9.25390625" style="189" hidden="1" customWidth="1"/>
    <col min="18" max="27" width="0" style="189" hidden="1" customWidth="1"/>
    <col min="28" max="16384" width="9.125" style="189" customWidth="1"/>
  </cols>
  <sheetData>
    <row r="1" spans="10:13" ht="18.75">
      <c r="J1" s="996"/>
      <c r="K1" s="996"/>
      <c r="L1" s="996"/>
      <c r="M1" s="996"/>
    </row>
    <row r="2" spans="1:13" ht="39" customHeight="1">
      <c r="A2" s="190"/>
      <c r="B2" s="997" t="s">
        <v>720</v>
      </c>
      <c r="C2" s="997"/>
      <c r="D2" s="997"/>
      <c r="E2" s="997"/>
      <c r="F2" s="997"/>
      <c r="G2" s="997"/>
      <c r="H2" s="997"/>
      <c r="I2" s="997"/>
      <c r="J2" s="997"/>
      <c r="K2" s="997"/>
      <c r="L2" s="997"/>
      <c r="M2" s="997"/>
    </row>
    <row r="3" spans="1:11" ht="21" customHeight="1">
      <c r="A3" s="190"/>
      <c r="B3" s="191"/>
      <c r="C3" s="191"/>
      <c r="D3" s="191"/>
      <c r="E3" s="191"/>
      <c r="F3" s="191"/>
      <c r="G3" s="191"/>
      <c r="H3" s="191"/>
      <c r="I3" s="191"/>
      <c r="J3" s="191"/>
      <c r="K3" s="191"/>
    </row>
    <row r="4" spans="1:13" s="185" customFormat="1" ht="21.75" customHeight="1">
      <c r="A4" s="981" t="s">
        <v>721</v>
      </c>
      <c r="B4" s="982" t="s">
        <v>721</v>
      </c>
      <c r="C4" s="982" t="s">
        <v>722</v>
      </c>
      <c r="D4" s="982" t="s">
        <v>723</v>
      </c>
      <c r="E4" s="982" t="s">
        <v>724</v>
      </c>
      <c r="F4" s="991" t="s">
        <v>725</v>
      </c>
      <c r="G4" s="992"/>
      <c r="H4" s="992"/>
      <c r="I4" s="992"/>
      <c r="J4" s="992"/>
      <c r="K4" s="993"/>
      <c r="L4" s="986" t="s">
        <v>726</v>
      </c>
      <c r="M4" s="987"/>
    </row>
    <row r="5" spans="1:13" s="185" customFormat="1" ht="63" customHeight="1">
      <c r="A5" s="981"/>
      <c r="B5" s="982"/>
      <c r="C5" s="982"/>
      <c r="D5" s="982"/>
      <c r="E5" s="982"/>
      <c r="F5" s="193" t="s">
        <v>727</v>
      </c>
      <c r="G5" s="193" t="s">
        <v>728</v>
      </c>
      <c r="H5" s="193" t="s">
        <v>729</v>
      </c>
      <c r="I5" s="193" t="s">
        <v>730</v>
      </c>
      <c r="J5" s="193" t="s">
        <v>731</v>
      </c>
      <c r="K5" s="193" t="s">
        <v>732</v>
      </c>
      <c r="L5" s="194" t="s">
        <v>733</v>
      </c>
      <c r="M5" s="194" t="s">
        <v>734</v>
      </c>
    </row>
    <row r="6" spans="1:13" s="185" customFormat="1" ht="33.75" customHeight="1">
      <c r="A6" s="192"/>
      <c r="B6" s="969">
        <v>1</v>
      </c>
      <c r="C6" s="971" t="s">
        <v>735</v>
      </c>
      <c r="D6" s="965" t="s">
        <v>736</v>
      </c>
      <c r="E6" s="195" t="s">
        <v>737</v>
      </c>
      <c r="F6" s="196">
        <v>15211</v>
      </c>
      <c r="G6" s="196">
        <v>15190</v>
      </c>
      <c r="H6" s="196">
        <v>15198</v>
      </c>
      <c r="I6" s="196">
        <v>15255</v>
      </c>
      <c r="J6" s="196">
        <v>15301</v>
      </c>
      <c r="K6" s="244">
        <f>AVERAGE(F6:J6)</f>
        <v>15231</v>
      </c>
      <c r="L6" s="963">
        <v>15562</v>
      </c>
      <c r="M6" s="963">
        <v>15278</v>
      </c>
    </row>
    <row r="7" spans="1:14" s="185" customFormat="1" ht="28.5" customHeight="1">
      <c r="A7" s="192"/>
      <c r="B7" s="970"/>
      <c r="C7" s="972"/>
      <c r="D7" s="965"/>
      <c r="E7" s="197" t="s">
        <v>738</v>
      </c>
      <c r="F7" s="198">
        <v>15199</v>
      </c>
      <c r="G7" s="198">
        <f>F7-250</f>
        <v>14949</v>
      </c>
      <c r="H7" s="198">
        <f>G7-250</f>
        <v>14699</v>
      </c>
      <c r="I7" s="198">
        <f>H7-250</f>
        <v>14449</v>
      </c>
      <c r="J7" s="198">
        <f>I7-250</f>
        <v>14199</v>
      </c>
      <c r="K7" s="243">
        <f>AVERAGE(F7:J7)</f>
        <v>14699</v>
      </c>
      <c r="L7" s="964"/>
      <c r="M7" s="964"/>
      <c r="N7" s="199">
        <f>L6-M6</f>
        <v>284</v>
      </c>
    </row>
    <row r="8" spans="1:23" s="203" customFormat="1" ht="31.5">
      <c r="A8" s="200"/>
      <c r="B8" s="984">
        <f>B6+1</f>
        <v>2</v>
      </c>
      <c r="C8" s="973" t="s">
        <v>197</v>
      </c>
      <c r="D8" s="965" t="s">
        <v>739</v>
      </c>
      <c r="E8" s="195" t="s">
        <v>737</v>
      </c>
      <c r="F8" s="206" t="e">
        <f>Выручки!B4</f>
        <v>#REF!</v>
      </c>
      <c r="G8" s="206" t="e">
        <f>Выручки!B5</f>
        <v>#REF!</v>
      </c>
      <c r="H8" s="206" t="e">
        <f>Выручки!B6</f>
        <v>#REF!</v>
      </c>
      <c r="I8" s="207" t="e">
        <f>Выручки!B7</f>
        <v>#REF!</v>
      </c>
      <c r="J8" s="207" t="e">
        <f>Выручки!B8</f>
        <v>#REF!</v>
      </c>
      <c r="K8" s="241" t="e">
        <f>SUM(F8:J8)</f>
        <v>#REF!</v>
      </c>
      <c r="L8" s="967">
        <f>Выручки!E2</f>
        <v>2843.6</v>
      </c>
      <c r="M8" s="967">
        <f>Выручки!E3</f>
        <v>518.4</v>
      </c>
      <c r="N8" s="201" t="s">
        <v>740</v>
      </c>
      <c r="O8" s="201"/>
      <c r="P8" s="201"/>
      <c r="Q8" s="202"/>
      <c r="R8" s="201"/>
      <c r="S8" s="201"/>
      <c r="T8" s="201"/>
      <c r="U8" s="201"/>
      <c r="V8" s="201"/>
      <c r="W8" s="201"/>
    </row>
    <row r="9" spans="1:23" s="185" customFormat="1" ht="30.75" customHeight="1">
      <c r="A9" s="204"/>
      <c r="B9" s="984"/>
      <c r="C9" s="973"/>
      <c r="D9" s="965"/>
      <c r="E9" s="197" t="s">
        <v>738</v>
      </c>
      <c r="F9" s="216" t="e">
        <f>Выручки!E4</f>
        <v>#REF!</v>
      </c>
      <c r="G9" s="216" t="e">
        <f>Выручки!E5</f>
        <v>#REF!</v>
      </c>
      <c r="H9" s="216" t="e">
        <f>Выручки!E6</f>
        <v>#REF!</v>
      </c>
      <c r="I9" s="209" t="e">
        <f>Выручки!E7</f>
        <v>#REF!</v>
      </c>
      <c r="J9" s="209" t="e">
        <f>Выручки!E8</f>
        <v>#REF!</v>
      </c>
      <c r="K9" s="242" t="e">
        <f>SUM(F9:J9)</f>
        <v>#REF!</v>
      </c>
      <c r="L9" s="968"/>
      <c r="M9" s="968"/>
      <c r="N9" s="205"/>
      <c r="O9" s="205"/>
      <c r="P9" s="205"/>
      <c r="Q9" s="205"/>
      <c r="R9" s="205"/>
      <c r="S9" s="205"/>
      <c r="T9" s="205"/>
      <c r="U9" s="205"/>
      <c r="V9" s="205"/>
      <c r="W9" s="205"/>
    </row>
    <row r="10" spans="1:14" s="185" customFormat="1" ht="30.75" customHeight="1">
      <c r="A10" s="204"/>
      <c r="B10" s="965">
        <f>B8+1</f>
        <v>3</v>
      </c>
      <c r="C10" s="966" t="s">
        <v>198</v>
      </c>
      <c r="D10" s="965" t="s">
        <v>741</v>
      </c>
      <c r="E10" s="195" t="s">
        <v>737</v>
      </c>
      <c r="F10" s="206" t="e">
        <f>Инвестиции!G5</f>
        <v>#REF!</v>
      </c>
      <c r="G10" s="206" t="e">
        <f>Инвестиции!G6</f>
        <v>#REF!</v>
      </c>
      <c r="H10" s="206" t="e">
        <f>Инвестиции!G7</f>
        <v>#REF!</v>
      </c>
      <c r="I10" s="206" t="e">
        <f>Инвестиции!G8</f>
        <v>#REF!</v>
      </c>
      <c r="J10" s="207" t="e">
        <f>Инвестиции!G9</f>
        <v>#REF!</v>
      </c>
      <c r="K10" s="241" t="e">
        <f>SUM(F10:J10)</f>
        <v>#REF!</v>
      </c>
      <c r="L10" s="967">
        <v>99.7</v>
      </c>
      <c r="M10" s="988">
        <f>88</f>
        <v>88</v>
      </c>
      <c r="N10" s="208"/>
    </row>
    <row r="11" spans="1:13" s="185" customFormat="1" ht="30.75" customHeight="1">
      <c r="A11" s="204"/>
      <c r="B11" s="965"/>
      <c r="C11" s="966"/>
      <c r="D11" s="965"/>
      <c r="E11" s="197" t="s">
        <v>738</v>
      </c>
      <c r="F11" s="209" t="e">
        <f>Инвестиции!H5</f>
        <v>#REF!</v>
      </c>
      <c r="G11" s="209" t="e">
        <f>Инвестиции!H6</f>
        <v>#REF!</v>
      </c>
      <c r="H11" s="209" t="e">
        <f>Инвестиции!H7</f>
        <v>#REF!</v>
      </c>
      <c r="I11" s="209" t="e">
        <f>Инвестиции!H8</f>
        <v>#REF!</v>
      </c>
      <c r="J11" s="209" t="e">
        <f>Инвестиции!H9</f>
        <v>#REF!</v>
      </c>
      <c r="K11" s="242" t="e">
        <f>SUM(F11:J11)</f>
        <v>#REF!</v>
      </c>
      <c r="L11" s="968"/>
      <c r="M11" s="989"/>
    </row>
    <row r="12" spans="1:13" s="211" customFormat="1" ht="30.75" customHeight="1">
      <c r="A12" s="210"/>
      <c r="B12" s="965">
        <f>B10+1</f>
        <v>4</v>
      </c>
      <c r="C12" s="971" t="s">
        <v>768</v>
      </c>
      <c r="D12" s="965" t="s">
        <v>712</v>
      </c>
      <c r="E12" s="195" t="s">
        <v>737</v>
      </c>
      <c r="F12" s="240" t="e">
        <f>Выручки!C30</f>
        <v>#REF!</v>
      </c>
      <c r="G12" s="240" t="e">
        <f>Выручки!C31</f>
        <v>#REF!</v>
      </c>
      <c r="H12" s="240" t="e">
        <f>Выручки!C32</f>
        <v>#REF!</v>
      </c>
      <c r="I12" s="240" t="e">
        <f>Выручки!C33</f>
        <v>#REF!</v>
      </c>
      <c r="J12" s="240" t="e">
        <f>Выручки!C34</f>
        <v>#REF!</v>
      </c>
      <c r="K12" s="974" t="s">
        <v>543</v>
      </c>
      <c r="L12" s="967">
        <f>Выручки!C28</f>
        <v>83.69672246448164</v>
      </c>
      <c r="M12" s="967">
        <f>Выручки!C29</f>
        <v>20.44753086419753</v>
      </c>
    </row>
    <row r="13" spans="1:13" s="215" customFormat="1" ht="36.75" customHeight="1" hidden="1">
      <c r="A13" s="212"/>
      <c r="B13" s="965"/>
      <c r="C13" s="983"/>
      <c r="D13" s="965"/>
      <c r="E13" s="213" t="s">
        <v>742</v>
      </c>
      <c r="F13" s="214">
        <f>2380.8/2</f>
        <v>1190.4</v>
      </c>
      <c r="G13" s="214">
        <f>F13*G14%</f>
        <v>1247.5392000000002</v>
      </c>
      <c r="H13" s="214">
        <f>G13*H14%</f>
        <v>1312.4112384000002</v>
      </c>
      <c r="I13" s="214">
        <f>H13*I14%</f>
        <v>1378.0318003200002</v>
      </c>
      <c r="J13" s="214">
        <f>I13*J14%</f>
        <v>1460.7137083392004</v>
      </c>
      <c r="K13" s="975"/>
      <c r="L13" s="990"/>
      <c r="M13" s="990"/>
    </row>
    <row r="14" spans="1:13" s="215" customFormat="1" ht="30.75" customHeight="1" hidden="1">
      <c r="A14" s="212"/>
      <c r="B14" s="965"/>
      <c r="C14" s="983"/>
      <c r="D14" s="965"/>
      <c r="E14" s="213" t="s">
        <v>743</v>
      </c>
      <c r="F14" s="214"/>
      <c r="G14" s="214">
        <v>104.8</v>
      </c>
      <c r="H14" s="214">
        <v>105.2</v>
      </c>
      <c r="I14" s="214">
        <v>105</v>
      </c>
      <c r="J14" s="214">
        <v>106</v>
      </c>
      <c r="K14" s="975"/>
      <c r="L14" s="990"/>
      <c r="M14" s="990"/>
    </row>
    <row r="15" spans="1:13" s="185" customFormat="1" ht="30.75" customHeight="1">
      <c r="A15" s="204"/>
      <c r="B15" s="965"/>
      <c r="C15" s="972"/>
      <c r="D15" s="965"/>
      <c r="E15" s="197" t="s">
        <v>738</v>
      </c>
      <c r="F15" s="216" t="e">
        <f>Выручки!F30</f>
        <v>#REF!</v>
      </c>
      <c r="G15" s="216" t="e">
        <f>Выручки!F31</f>
        <v>#REF!</v>
      </c>
      <c r="H15" s="216">
        <v>50.2</v>
      </c>
      <c r="I15" s="216">
        <v>50.1</v>
      </c>
      <c r="J15" s="216">
        <v>50</v>
      </c>
      <c r="K15" s="976"/>
      <c r="L15" s="968"/>
      <c r="M15" s="968"/>
    </row>
    <row r="16" spans="1:19" s="185" customFormat="1" ht="37.5" customHeight="1">
      <c r="A16" s="204"/>
      <c r="B16" s="965">
        <f>B12+1</f>
        <v>5</v>
      </c>
      <c r="C16" s="966" t="s">
        <v>767</v>
      </c>
      <c r="D16" s="965" t="s">
        <v>712</v>
      </c>
      <c r="E16" s="195" t="s">
        <v>737</v>
      </c>
      <c r="F16" s="206" t="e">
        <f>Выручки!C46</f>
        <v>#REF!</v>
      </c>
      <c r="G16" s="206" t="e">
        <f>Выручки!C47</f>
        <v>#REF!</v>
      </c>
      <c r="H16" s="206" t="e">
        <f>Выручки!C48</f>
        <v>#REF!</v>
      </c>
      <c r="I16" s="206" t="e">
        <f>Выручки!C49</f>
        <v>#REF!</v>
      </c>
      <c r="J16" s="206" t="e">
        <f>Выручки!C50</f>
        <v>#REF!</v>
      </c>
      <c r="K16" s="979" t="s">
        <v>543</v>
      </c>
      <c r="L16" s="967">
        <f>Выручки!F44</f>
        <v>10.687157124771417</v>
      </c>
      <c r="M16" s="967">
        <f>Выручки!F45</f>
        <v>51.11882716049383</v>
      </c>
      <c r="N16" s="217" t="e">
        <f>F16-M16</f>
        <v>#REF!</v>
      </c>
      <c r="O16" s="217" t="e">
        <f>G16-F16</f>
        <v>#REF!</v>
      </c>
      <c r="P16" s="217" t="e">
        <f>H16-G16</f>
        <v>#REF!</v>
      </c>
      <c r="Q16" s="217" t="e">
        <f>I16-H16</f>
        <v>#REF!</v>
      </c>
      <c r="R16" s="217" t="e">
        <f>J16-I16</f>
        <v>#REF!</v>
      </c>
      <c r="S16" s="217"/>
    </row>
    <row r="17" spans="1:13" s="185" customFormat="1" ht="37.5" customHeight="1">
      <c r="A17" s="204"/>
      <c r="B17" s="965"/>
      <c r="C17" s="966"/>
      <c r="D17" s="965"/>
      <c r="E17" s="197" t="s">
        <v>738</v>
      </c>
      <c r="F17" s="216" t="e">
        <f>Выручки!F46</f>
        <v>#REF!</v>
      </c>
      <c r="G17" s="216" t="e">
        <f>Выручки!F47</f>
        <v>#REF!</v>
      </c>
      <c r="H17" s="216" t="e">
        <f>Выручки!F48</f>
        <v>#REF!</v>
      </c>
      <c r="I17" s="216" t="e">
        <f>Выручки!F49</f>
        <v>#REF!</v>
      </c>
      <c r="J17" s="216" t="e">
        <f>Выручки!F50</f>
        <v>#REF!</v>
      </c>
      <c r="K17" s="980"/>
      <c r="L17" s="968"/>
      <c r="M17" s="968"/>
    </row>
    <row r="18" spans="1:13" s="185" customFormat="1" ht="28.5" customHeight="1">
      <c r="A18" s="204"/>
      <c r="B18" s="965">
        <f>B16+1</f>
        <v>6</v>
      </c>
      <c r="C18" s="985" t="s">
        <v>744</v>
      </c>
      <c r="D18" s="965" t="s">
        <v>745</v>
      </c>
      <c r="E18" s="195" t="s">
        <v>737</v>
      </c>
      <c r="F18" s="245">
        <v>17978.4</v>
      </c>
      <c r="G18" s="245">
        <v>19776.24</v>
      </c>
      <c r="H18" s="245">
        <v>21852.7452</v>
      </c>
      <c r="I18" s="196">
        <v>24256.547172000002</v>
      </c>
      <c r="J18" s="196">
        <v>27167.332832640004</v>
      </c>
      <c r="K18" s="241">
        <f>AVERAGE(F18:J18)</f>
        <v>22206.253040928004</v>
      </c>
      <c r="L18" s="977">
        <v>16592</v>
      </c>
      <c r="M18" s="963">
        <v>16344</v>
      </c>
    </row>
    <row r="19" spans="1:13" s="185" customFormat="1" ht="27.75" customHeight="1">
      <c r="A19" s="204"/>
      <c r="B19" s="965"/>
      <c r="C19" s="985"/>
      <c r="D19" s="965"/>
      <c r="E19" s="197" t="s">
        <v>738</v>
      </c>
      <c r="F19" s="198">
        <v>17439.048</v>
      </c>
      <c r="G19" s="198">
        <v>18537.708024</v>
      </c>
      <c r="H19" s="198">
        <v>19928.777634120957</v>
      </c>
      <c r="I19" s="198">
        <v>21391.549912465438</v>
      </c>
      <c r="J19" s="198">
        <v>22991.42393041872</v>
      </c>
      <c r="K19" s="242">
        <f>AVERAGE(F19:J19)</f>
        <v>20057.701500201023</v>
      </c>
      <c r="L19" s="978"/>
      <c r="M19" s="1002"/>
    </row>
    <row r="20" spans="1:14" s="185" customFormat="1" ht="31.5" customHeight="1">
      <c r="A20" s="204"/>
      <c r="B20" s="965">
        <f>B18+1</f>
        <v>7</v>
      </c>
      <c r="C20" s="966" t="s">
        <v>746</v>
      </c>
      <c r="D20" s="965" t="s">
        <v>747</v>
      </c>
      <c r="E20" s="195" t="s">
        <v>737</v>
      </c>
      <c r="F20" s="196" t="e">
        <f>'расчет баланса'!G30</f>
        <v>#REF!</v>
      </c>
      <c r="G20" s="196" t="e">
        <f>'расчет баланса'!H30</f>
        <v>#REF!</v>
      </c>
      <c r="H20" s="196" t="e">
        <f>'расчет баланса'!I30</f>
        <v>#REF!</v>
      </c>
      <c r="I20" s="196" t="e">
        <f>'расчет баланса'!J30</f>
        <v>#REF!</v>
      </c>
      <c r="J20" s="196" t="e">
        <f>'расчет баланса'!K30</f>
        <v>#REF!</v>
      </c>
      <c r="K20" s="241" t="e">
        <f>SUM(F20:J20)</f>
        <v>#REF!</v>
      </c>
      <c r="L20" s="1000">
        <v>153</v>
      </c>
      <c r="M20" s="1000">
        <f>102+9</f>
        <v>111</v>
      </c>
      <c r="N20" s="208"/>
    </row>
    <row r="21" spans="1:15" s="185" customFormat="1" ht="35.25" customHeight="1">
      <c r="A21" s="204"/>
      <c r="B21" s="965"/>
      <c r="C21" s="966"/>
      <c r="D21" s="965"/>
      <c r="E21" s="197" t="s">
        <v>738</v>
      </c>
      <c r="F21" s="218" t="e">
        <f>Занятость!D5</f>
        <v>#REF!</v>
      </c>
      <c r="G21" s="218" t="e">
        <f>Занятость!D6</f>
        <v>#REF!</v>
      </c>
      <c r="H21" s="218" t="e">
        <f>Занятость!D7</f>
        <v>#REF!</v>
      </c>
      <c r="I21" s="218" t="e">
        <f>Занятость!D8</f>
        <v>#REF!</v>
      </c>
      <c r="J21" s="218" t="e">
        <f>Занятость!D9</f>
        <v>#REF!</v>
      </c>
      <c r="K21" s="242" t="e">
        <f>SUM(F21:J21)</f>
        <v>#REF!</v>
      </c>
      <c r="L21" s="1001"/>
      <c r="M21" s="1001"/>
      <c r="O21" s="185" t="s">
        <v>748</v>
      </c>
    </row>
    <row r="22" spans="1:13" s="185" customFormat="1" ht="30.75" customHeight="1">
      <c r="A22" s="204"/>
      <c r="B22" s="965">
        <f>B20+1</f>
        <v>8</v>
      </c>
      <c r="C22" s="966" t="s">
        <v>749</v>
      </c>
      <c r="D22" s="965" t="s">
        <v>712</v>
      </c>
      <c r="E22" s="195" t="s">
        <v>737</v>
      </c>
      <c r="F22" s="207">
        <f>'Баланс ТР '!G18/'Баланс ТР '!G7*100</f>
        <v>2.6345041498225505</v>
      </c>
      <c r="G22" s="207">
        <f>'Баланс ТР '!H18/'Баланс ТР '!H7*100</f>
        <v>2.1105170571666</v>
      </c>
      <c r="H22" s="207">
        <f>'Баланс ТР '!I18/'Баланс ТР '!I7*100</f>
        <v>2.0764466420301204</v>
      </c>
      <c r="I22" s="207">
        <f>'Баланс ТР '!J18/'Баланс ТР '!J7*100</f>
        <v>2.6498908715766394</v>
      </c>
      <c r="J22" s="207">
        <f>'Баланс ТР '!K18/'Баланс ТР '!K7*100</f>
        <v>2.9856692105198315</v>
      </c>
      <c r="K22" s="994" t="s">
        <v>543</v>
      </c>
      <c r="L22" s="1003">
        <v>5.21</v>
      </c>
      <c r="M22" s="1007">
        <v>15.6</v>
      </c>
    </row>
    <row r="23" spans="1:15" s="185" customFormat="1" ht="30.75" customHeight="1">
      <c r="A23" s="204"/>
      <c r="B23" s="965"/>
      <c r="C23" s="966"/>
      <c r="D23" s="965"/>
      <c r="E23" s="197" t="s">
        <v>738</v>
      </c>
      <c r="F23" s="219" t="e">
        <f>Занятость!N5</f>
        <v>#REF!</v>
      </c>
      <c r="G23" s="219" t="e">
        <f>Занятость!N6</f>
        <v>#REF!</v>
      </c>
      <c r="H23" s="219" t="e">
        <f>Занятость!N7</f>
        <v>#REF!</v>
      </c>
      <c r="I23" s="219" t="e">
        <f>Занятость!N8</f>
        <v>#REF!</v>
      </c>
      <c r="J23" s="219" t="e">
        <f>Занятость!N9</f>
        <v>#REF!</v>
      </c>
      <c r="K23" s="995"/>
      <c r="L23" s="1004"/>
      <c r="M23" s="1008"/>
      <c r="N23" s="217">
        <v>299</v>
      </c>
      <c r="O23" s="185">
        <v>886</v>
      </c>
    </row>
    <row r="24" spans="1:13" s="185" customFormat="1" ht="30.75" customHeight="1">
      <c r="A24" s="204"/>
      <c r="B24" s="965">
        <f>B22+1</f>
        <v>9</v>
      </c>
      <c r="C24" s="966" t="s">
        <v>46</v>
      </c>
      <c r="D24" s="965" t="s">
        <v>47</v>
      </c>
      <c r="E24" s="195" t="s">
        <v>737</v>
      </c>
      <c r="F24" s="196" t="e">
        <f>Занятость!Q5</f>
        <v>#REF!</v>
      </c>
      <c r="G24" s="196" t="e">
        <f>Занятость!Q6</f>
        <v>#REF!</v>
      </c>
      <c r="H24" s="196" t="e">
        <f>Занятость!Q7</f>
        <v>#REF!</v>
      </c>
      <c r="I24" s="196" t="e">
        <f>Занятость!Q8</f>
        <v>#REF!</v>
      </c>
      <c r="J24" s="196" t="e">
        <f>Занятость!Q9</f>
        <v>#REF!</v>
      </c>
      <c r="K24" s="241" t="e">
        <f>SUM(F24:J24)</f>
        <v>#REF!</v>
      </c>
      <c r="L24" s="1009">
        <f>Занятость!Q3</f>
        <v>1085.28</v>
      </c>
      <c r="M24" s="1009">
        <f>Занятость!Q4</f>
        <v>1280</v>
      </c>
    </row>
    <row r="25" spans="1:13" s="185" customFormat="1" ht="39" customHeight="1">
      <c r="A25" s="204"/>
      <c r="B25" s="965"/>
      <c r="C25" s="966"/>
      <c r="D25" s="965"/>
      <c r="E25" s="197" t="s">
        <v>738</v>
      </c>
      <c r="F25" s="275" t="e">
        <f>Занятость!R5</f>
        <v>#REF!</v>
      </c>
      <c r="G25" s="275" t="e">
        <f>Занятость!R6</f>
        <v>#REF!</v>
      </c>
      <c r="H25" s="275" t="e">
        <f>Занятость!R7</f>
        <v>#REF!</v>
      </c>
      <c r="I25" s="275" t="e">
        <f>Занятость!R8</f>
        <v>#REF!</v>
      </c>
      <c r="J25" s="275" t="e">
        <f>Занятость!R9</f>
        <v>#REF!</v>
      </c>
      <c r="K25" s="242" t="e">
        <f>SUM(F25:J25)</f>
        <v>#REF!</v>
      </c>
      <c r="L25" s="1010"/>
      <c r="M25" s="1010"/>
    </row>
    <row r="26" spans="1:13" s="185" customFormat="1" ht="30.75" customHeight="1">
      <c r="A26" s="204"/>
      <c r="B26" s="965">
        <f>B24+1</f>
        <v>10</v>
      </c>
      <c r="C26" s="966" t="s">
        <v>750</v>
      </c>
      <c r="D26" s="965" t="s">
        <v>712</v>
      </c>
      <c r="E26" s="195" t="s">
        <v>737</v>
      </c>
      <c r="F26" s="220" t="e">
        <f>Дотационность!E13</f>
        <v>#REF!</v>
      </c>
      <c r="G26" s="220" t="e">
        <f>Дотационность!F13</f>
        <v>#REF!</v>
      </c>
      <c r="H26" s="220" t="e">
        <f>Дотационность!G13</f>
        <v>#REF!</v>
      </c>
      <c r="I26" s="220" t="e">
        <f>Дотационность!H13</f>
        <v>#REF!</v>
      </c>
      <c r="J26" s="220" t="e">
        <f>Дотационность!I13</f>
        <v>#REF!</v>
      </c>
      <c r="K26" s="994" t="s">
        <v>543</v>
      </c>
      <c r="L26" s="998">
        <f>Дотационность!C12</f>
        <v>62.61785844054268</v>
      </c>
      <c r="M26" s="998">
        <f>Дотационность!D12</f>
        <v>81.81704946923716</v>
      </c>
    </row>
    <row r="27" spans="1:13" s="185" customFormat="1" ht="30.75" customHeight="1">
      <c r="A27" s="204"/>
      <c r="B27" s="965"/>
      <c r="C27" s="966"/>
      <c r="D27" s="965"/>
      <c r="E27" s="197" t="s">
        <v>738</v>
      </c>
      <c r="F27" s="221">
        <f>Дотационность!E12</f>
        <v>66.54716947172776</v>
      </c>
      <c r="G27" s="221" t="e">
        <f>Дотационность!F12</f>
        <v>#REF!</v>
      </c>
      <c r="H27" s="221" t="e">
        <f>Дотационность!G12</f>
        <v>#REF!</v>
      </c>
      <c r="I27" s="221" t="e">
        <f>Дотационность!H12</f>
        <v>#REF!</v>
      </c>
      <c r="J27" s="221" t="e">
        <f>Дотационность!I12</f>
        <v>#REF!</v>
      </c>
      <c r="K27" s="995"/>
      <c r="L27" s="999"/>
      <c r="M27" s="999"/>
    </row>
    <row r="28" spans="1:13" s="185" customFormat="1" ht="30.75" customHeight="1">
      <c r="A28" s="204"/>
      <c r="B28" s="965">
        <f>B26+1</f>
        <v>11</v>
      </c>
      <c r="C28" s="973" t="s">
        <v>58</v>
      </c>
      <c r="D28" s="1011" t="s">
        <v>751</v>
      </c>
      <c r="E28" s="195" t="s">
        <v>737</v>
      </c>
      <c r="F28" s="196" t="e">
        <f>Дотационность!E19</f>
        <v>#REF!</v>
      </c>
      <c r="G28" s="196" t="e">
        <f>Дотационность!F19</f>
        <v>#REF!</v>
      </c>
      <c r="H28" s="196" t="e">
        <f>Дотационность!G19</f>
        <v>#REF!</v>
      </c>
      <c r="I28" s="196" t="e">
        <f>Дотационность!H19</f>
        <v>#REF!</v>
      </c>
      <c r="J28" s="196" t="e">
        <f>Дотационность!I19</f>
        <v>#REF!</v>
      </c>
      <c r="K28" s="994" t="s">
        <v>543</v>
      </c>
      <c r="L28" s="988">
        <f>Дотационность!C19</f>
        <v>1903.2386582701452</v>
      </c>
      <c r="M28" s="963">
        <f>Дотационность!D19</f>
        <v>1037.1353296491452</v>
      </c>
    </row>
    <row r="29" spans="1:13" s="185" customFormat="1" ht="30.75" customHeight="1">
      <c r="A29" s="204"/>
      <c r="B29" s="965"/>
      <c r="C29" s="973"/>
      <c r="D29" s="1011"/>
      <c r="E29" s="197" t="s">
        <v>738</v>
      </c>
      <c r="F29" s="198">
        <f>Дотационность!E20</f>
        <v>1588.9861175077306</v>
      </c>
      <c r="G29" s="198" t="e">
        <f>Дотационность!F20</f>
        <v>#REF!</v>
      </c>
      <c r="H29" s="198" t="e">
        <f>Дотационность!G20</f>
        <v>#REF!</v>
      </c>
      <c r="I29" s="198" t="e">
        <f>Дотационность!H20</f>
        <v>#REF!</v>
      </c>
      <c r="J29" s="198" t="e">
        <f>Дотационность!I20</f>
        <v>#REF!</v>
      </c>
      <c r="K29" s="995"/>
      <c r="L29" s="989"/>
      <c r="M29" s="964"/>
    </row>
    <row r="30" spans="1:13" s="185" customFormat="1" ht="18.75">
      <c r="A30" s="204"/>
      <c r="B30" s="222"/>
      <c r="C30" s="223"/>
      <c r="D30" s="223"/>
      <c r="E30" s="224"/>
      <c r="F30" s="225"/>
      <c r="G30" s="225"/>
      <c r="H30" s="225"/>
      <c r="I30" s="226"/>
      <c r="J30" s="226"/>
      <c r="K30" s="226"/>
      <c r="L30" s="227"/>
      <c r="M30" s="228"/>
    </row>
    <row r="31" spans="1:13" s="185" customFormat="1" ht="25.5" customHeight="1" hidden="1">
      <c r="A31" s="204"/>
      <c r="B31" s="1006" t="s">
        <v>655</v>
      </c>
      <c r="C31" s="1006"/>
      <c r="D31" s="223"/>
      <c r="E31" s="224"/>
      <c r="F31" s="225"/>
      <c r="G31" s="225"/>
      <c r="H31" s="225"/>
      <c r="I31" s="226"/>
      <c r="J31" s="226"/>
      <c r="K31" s="226"/>
      <c r="L31" s="227"/>
      <c r="M31" s="227"/>
    </row>
    <row r="32" spans="1:13" s="185" customFormat="1" ht="25.5" customHeight="1" hidden="1">
      <c r="A32" s="204"/>
      <c r="B32" s="1005" t="s">
        <v>752</v>
      </c>
      <c r="C32" s="1005"/>
      <c r="D32" s="223"/>
      <c r="E32" s="224"/>
      <c r="F32" s="225"/>
      <c r="G32" s="225"/>
      <c r="H32" s="225"/>
      <c r="I32" s="226"/>
      <c r="J32" s="226"/>
      <c r="K32" s="226"/>
      <c r="L32" s="227"/>
      <c r="M32" s="227"/>
    </row>
    <row r="33" spans="1:13" s="185" customFormat="1" ht="30" customHeight="1" hidden="1">
      <c r="A33" s="229"/>
      <c r="B33" s="1005" t="s">
        <v>753</v>
      </c>
      <c r="C33" s="1005"/>
      <c r="D33" s="1005"/>
      <c r="E33" s="1005"/>
      <c r="F33" s="1005"/>
      <c r="G33" s="1005"/>
      <c r="H33" s="1005"/>
      <c r="I33" s="1005"/>
      <c r="J33" s="1005"/>
      <c r="K33" s="1005"/>
      <c r="L33" s="1005"/>
      <c r="M33" s="1005"/>
    </row>
    <row r="34" spans="1:13" s="185" customFormat="1" ht="30" customHeight="1" hidden="1">
      <c r="A34" s="230"/>
      <c r="B34" s="1005" t="s">
        <v>754</v>
      </c>
      <c r="C34" s="1005"/>
      <c r="D34" s="1005"/>
      <c r="E34" s="1005"/>
      <c r="F34" s="1005"/>
      <c r="G34" s="1005"/>
      <c r="H34" s="1005"/>
      <c r="I34" s="1005"/>
      <c r="J34" s="1005"/>
      <c r="K34" s="1005"/>
      <c r="L34" s="1005"/>
      <c r="M34" s="1005"/>
    </row>
    <row r="35" spans="1:13" s="231" customFormat="1" ht="18" hidden="1">
      <c r="A35" s="185"/>
      <c r="B35" s="1005" t="s">
        <v>755</v>
      </c>
      <c r="C35" s="1005"/>
      <c r="D35" s="1005"/>
      <c r="E35" s="1005"/>
      <c r="F35" s="1005"/>
      <c r="G35" s="1005"/>
      <c r="H35" s="1005"/>
      <c r="I35" s="1005"/>
      <c r="J35" s="1005"/>
      <c r="K35" s="1005"/>
      <c r="L35" s="1005"/>
      <c r="M35" s="1005"/>
    </row>
    <row r="36" spans="3:5" ht="18.75" hidden="1">
      <c r="C36" s="232"/>
      <c r="D36" s="233"/>
      <c r="E36" s="233"/>
    </row>
    <row r="37" ht="18.75">
      <c r="C37" s="232"/>
    </row>
    <row r="38" ht="18.75">
      <c r="C38" s="232"/>
    </row>
    <row r="39" ht="18.75">
      <c r="C39" s="234"/>
    </row>
    <row r="40" ht="18.75">
      <c r="C40" s="234"/>
    </row>
  </sheetData>
  <sheetProtection/>
  <mergeCells count="74">
    <mergeCell ref="L22:L23"/>
    <mergeCell ref="B35:M35"/>
    <mergeCell ref="B31:C31"/>
    <mergeCell ref="B32:C32"/>
    <mergeCell ref="B33:M33"/>
    <mergeCell ref="B34:M34"/>
    <mergeCell ref="M22:M23"/>
    <mergeCell ref="L24:L25"/>
    <mergeCell ref="M24:M25"/>
    <mergeCell ref="D28:D29"/>
    <mergeCell ref="L28:L29"/>
    <mergeCell ref="M28:M29"/>
    <mergeCell ref="J1:M1"/>
    <mergeCell ref="B2:M2"/>
    <mergeCell ref="L26:L27"/>
    <mergeCell ref="M26:M27"/>
    <mergeCell ref="L20:L21"/>
    <mergeCell ref="M20:M21"/>
    <mergeCell ref="M18:M19"/>
    <mergeCell ref="L10:L11"/>
    <mergeCell ref="D22:D23"/>
    <mergeCell ref="K22:K23"/>
    <mergeCell ref="K26:K27"/>
    <mergeCell ref="K28:K29"/>
    <mergeCell ref="D26:D27"/>
    <mergeCell ref="D24:D25"/>
    <mergeCell ref="L4:M4"/>
    <mergeCell ref="D8:D9"/>
    <mergeCell ref="D10:D11"/>
    <mergeCell ref="D12:D15"/>
    <mergeCell ref="M10:M11"/>
    <mergeCell ref="L12:L15"/>
    <mergeCell ref="M12:M15"/>
    <mergeCell ref="E4:E5"/>
    <mergeCell ref="M8:M9"/>
    <mergeCell ref="F4:K4"/>
    <mergeCell ref="C28:C29"/>
    <mergeCell ref="C22:C23"/>
    <mergeCell ref="C24:C25"/>
    <mergeCell ref="C26:C27"/>
    <mergeCell ref="C20:C21"/>
    <mergeCell ref="C18:C19"/>
    <mergeCell ref="A4:A5"/>
    <mergeCell ref="C4:C5"/>
    <mergeCell ref="D4:D5"/>
    <mergeCell ref="B4:B5"/>
    <mergeCell ref="C10:C11"/>
    <mergeCell ref="C12:C15"/>
    <mergeCell ref="B8:B9"/>
    <mergeCell ref="B10:B11"/>
    <mergeCell ref="B12:B15"/>
    <mergeCell ref="D20:D21"/>
    <mergeCell ref="L6:L7"/>
    <mergeCell ref="K12:K15"/>
    <mergeCell ref="L8:L9"/>
    <mergeCell ref="L18:L19"/>
    <mergeCell ref="K16:K17"/>
    <mergeCell ref="D18:D19"/>
    <mergeCell ref="B28:B29"/>
    <mergeCell ref="B20:B21"/>
    <mergeCell ref="B22:B23"/>
    <mergeCell ref="B24:B25"/>
    <mergeCell ref="B26:B27"/>
    <mergeCell ref="B18:B19"/>
    <mergeCell ref="M6:M7"/>
    <mergeCell ref="B16:B17"/>
    <mergeCell ref="C16:C17"/>
    <mergeCell ref="D16:D17"/>
    <mergeCell ref="L16:L17"/>
    <mergeCell ref="M16:M17"/>
    <mergeCell ref="B6:B7"/>
    <mergeCell ref="C6:C7"/>
    <mergeCell ref="D6:D7"/>
    <mergeCell ref="C8:C9"/>
  </mergeCells>
  <printOptions horizontalCentered="1"/>
  <pageMargins left="0.5511811023622047" right="0.3937007874015748" top="0.5511811023622047" bottom="0.5511811023622047" header="0.15748031496062992" footer="0.15748031496062992"/>
  <pageSetup fitToHeight="0" horizontalDpi="600" verticalDpi="600" orientation="portrait" paperSize="9" scale="4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2:M19"/>
  <sheetViews>
    <sheetView zoomScale="75" zoomScaleNormal="75" zoomScalePageLayoutView="0" workbookViewId="0" topLeftCell="B1">
      <selection activeCell="A192" sqref="A192:T192"/>
    </sheetView>
  </sheetViews>
  <sheetFormatPr defaultColWidth="9.00390625" defaultRowHeight="12.75"/>
  <cols>
    <col min="1" max="1" width="3.875" style="96" hidden="1" customWidth="1"/>
    <col min="2" max="2" width="57.75390625" style="458" customWidth="1"/>
    <col min="3" max="3" width="7.75390625" style="18" customWidth="1"/>
    <col min="4" max="4" width="11.75390625" style="458" customWidth="1"/>
    <col min="5" max="5" width="12.75390625" style="458" customWidth="1"/>
    <col min="6" max="6" width="13.00390625" style="458" customWidth="1"/>
    <col min="7" max="7" width="12.375" style="458" customWidth="1"/>
    <col min="8" max="8" width="10.875" style="458" customWidth="1"/>
    <col min="9" max="9" width="13.00390625" style="458" customWidth="1"/>
    <col min="10" max="11" width="11.75390625" style="458" customWidth="1"/>
    <col min="12" max="12" width="12.375" style="458" customWidth="1"/>
    <col min="13" max="13" width="13.75390625" style="458" customWidth="1"/>
    <col min="14" max="16384" width="9.125" style="458" customWidth="1"/>
  </cols>
  <sheetData>
    <row r="2" spans="1:13" ht="38.25" customHeight="1">
      <c r="A2" s="1012" t="s">
        <v>260</v>
      </c>
      <c r="B2" s="1013"/>
      <c r="C2" s="1013"/>
      <c r="D2" s="1013"/>
      <c r="E2" s="1013"/>
      <c r="F2" s="1013"/>
      <c r="G2" s="1013"/>
      <c r="H2" s="1013"/>
      <c r="I2" s="1013"/>
      <c r="J2" s="1013"/>
      <c r="K2" s="1013"/>
      <c r="L2" s="1013"/>
      <c r="M2" s="1013"/>
    </row>
    <row r="3" ht="12.75">
      <c r="B3" s="267"/>
    </row>
    <row r="4" spans="1:13" s="1" customFormat="1" ht="15.75">
      <c r="A4" s="863" t="s">
        <v>64</v>
      </c>
      <c r="B4" s="1015" t="s">
        <v>722</v>
      </c>
      <c r="C4" s="1016" t="s">
        <v>723</v>
      </c>
      <c r="D4" s="1014" t="s">
        <v>217</v>
      </c>
      <c r="E4" s="1014"/>
      <c r="F4" s="1014"/>
      <c r="G4" s="1014" t="s">
        <v>218</v>
      </c>
      <c r="H4" s="1014"/>
      <c r="I4" s="1014"/>
      <c r="J4" s="1014"/>
      <c r="K4" s="1014"/>
      <c r="L4" s="1014"/>
      <c r="M4" s="1014"/>
    </row>
    <row r="5" spans="1:13" s="1" customFormat="1" ht="33" customHeight="1">
      <c r="A5" s="864"/>
      <c r="B5" s="1015"/>
      <c r="C5" s="1016"/>
      <c r="D5" s="466">
        <v>2007</v>
      </c>
      <c r="E5" s="466">
        <v>2008</v>
      </c>
      <c r="F5" s="466">
        <v>2009</v>
      </c>
      <c r="G5" s="466">
        <v>2010</v>
      </c>
      <c r="H5" s="466">
        <v>2011</v>
      </c>
      <c r="I5" s="466">
        <v>2012</v>
      </c>
      <c r="J5" s="466">
        <v>2013</v>
      </c>
      <c r="K5" s="466">
        <v>2014</v>
      </c>
      <c r="L5" s="466">
        <v>2015</v>
      </c>
      <c r="M5" s="466">
        <v>2020</v>
      </c>
    </row>
    <row r="6" spans="1:13" ht="47.25" customHeight="1">
      <c r="A6" s="459">
        <v>1</v>
      </c>
      <c r="B6" s="460" t="s">
        <v>219</v>
      </c>
      <c r="C6" s="461" t="s">
        <v>712</v>
      </c>
      <c r="D6" s="465">
        <f>'Баланс ТР '!D11/'Баланс ТР '!D7*100</f>
        <v>24.060307821170557</v>
      </c>
      <c r="E6" s="465">
        <f>'Баланс ТР '!E11/'Баланс ТР '!E7*100</f>
        <v>24.581545064377682</v>
      </c>
      <c r="F6" s="465">
        <f>'Баланс ТР '!F11/'Баланс ТР '!F7*100</f>
        <v>9.672131147540984</v>
      </c>
      <c r="G6" s="465">
        <f>'Баланс ТР '!G11/'Баланс ТР '!G7*100</f>
        <v>14.039711698429342</v>
      </c>
      <c r="H6" s="465">
        <f>'Баланс ТР '!H11/'Баланс ТР '!H7*100</f>
        <v>13.905229569352858</v>
      </c>
      <c r="I6" s="465">
        <f>'Баланс ТР '!I11/'Баланс ТР '!I7*100</f>
        <v>13.744099202008893</v>
      </c>
      <c r="J6" s="465">
        <f>'Баланс ТР '!J11/'Баланс ТР '!J7*100</f>
        <v>10.217567652279195</v>
      </c>
      <c r="K6" s="465">
        <f>'Баланс ТР '!K11/'Баланс ТР '!K7*100</f>
        <v>6.220144188582982</v>
      </c>
      <c r="L6" s="465">
        <f>550/9200*100</f>
        <v>5.978260869565218</v>
      </c>
      <c r="M6" s="465">
        <v>0</v>
      </c>
    </row>
    <row r="7" spans="1:13" ht="39" customHeight="1">
      <c r="A7" s="459">
        <v>2</v>
      </c>
      <c r="B7" s="460" t="s">
        <v>220</v>
      </c>
      <c r="C7" s="461" t="s">
        <v>712</v>
      </c>
      <c r="D7" s="465">
        <f>898/9551*100</f>
        <v>9.402156842215474</v>
      </c>
      <c r="E7" s="465">
        <f>ИНДИКАТОРЫ!L24/'Баланс ТР '!E7*100</f>
        <v>11.644635193133048</v>
      </c>
      <c r="F7" s="465">
        <f>ИНДИКАТОРЫ!M24/'Баланс ТР '!F7*100</f>
        <v>13.989071038251366</v>
      </c>
      <c r="G7" s="465" t="e">
        <f>ИНДИКАТОРЫ!F24/'Баланс ТР '!G7*100</f>
        <v>#REF!</v>
      </c>
      <c r="H7" s="465" t="e">
        <f>ИНДИКАТОРЫ!G24/'Баланс ТР '!H7*100</f>
        <v>#REF!</v>
      </c>
      <c r="I7" s="465" t="e">
        <f>ИНДИКАТОРЫ!H24/'Баланс ТР '!I7*100</f>
        <v>#REF!</v>
      </c>
      <c r="J7" s="465" t="e">
        <f>ИНДИКАТОРЫ!I24/'Баланс ТР '!J7*100</f>
        <v>#REF!</v>
      </c>
      <c r="K7" s="465" t="e">
        <f>ИНДИКАТОРЫ!J24/'Баланс ТР '!K7*100</f>
        <v>#REF!</v>
      </c>
      <c r="L7" s="465">
        <f>(2984+300)/9200*100</f>
        <v>35.69565217391305</v>
      </c>
      <c r="M7" s="465">
        <v>45</v>
      </c>
    </row>
    <row r="8" spans="1:13" ht="30" customHeight="1">
      <c r="A8" s="459">
        <v>3</v>
      </c>
      <c r="B8" s="460" t="s">
        <v>221</v>
      </c>
      <c r="C8" s="461" t="s">
        <v>712</v>
      </c>
      <c r="D8" s="465">
        <v>2.8</v>
      </c>
      <c r="E8" s="465">
        <f>ИНДИКАТОРЫ!L22</f>
        <v>5.21</v>
      </c>
      <c r="F8" s="465">
        <f>ИНДИКАТОРЫ!M22</f>
        <v>15.6</v>
      </c>
      <c r="G8" s="465">
        <f>ИНДИКАТОРЫ!F22</f>
        <v>2.6345041498225505</v>
      </c>
      <c r="H8" s="465">
        <f>ИНДИКАТОРЫ!G22</f>
        <v>2.1105170571666</v>
      </c>
      <c r="I8" s="465">
        <f>ИНДИКАТОРЫ!H22</f>
        <v>2.0764466420301204</v>
      </c>
      <c r="J8" s="465">
        <f>ИНДИКАТОРЫ!I22</f>
        <v>2.6498908715766394</v>
      </c>
      <c r="K8" s="465">
        <f>ИНДИКАТОРЫ!J22</f>
        <v>2.9856692105198315</v>
      </c>
      <c r="L8" s="465">
        <v>2.9</v>
      </c>
      <c r="M8" s="465">
        <v>2.1</v>
      </c>
    </row>
    <row r="9" spans="1:13" ht="56.25" customHeight="1">
      <c r="A9" s="459">
        <v>4</v>
      </c>
      <c r="B9" s="460" t="s">
        <v>223</v>
      </c>
      <c r="C9" s="461" t="s">
        <v>47</v>
      </c>
      <c r="D9" s="464" t="s">
        <v>394</v>
      </c>
      <c r="E9" s="464" t="s">
        <v>394</v>
      </c>
      <c r="F9" s="464" t="s">
        <v>394</v>
      </c>
      <c r="G9" s="463">
        <f>367</f>
        <v>367</v>
      </c>
      <c r="H9" s="463">
        <f>G9+367</f>
        <v>734</v>
      </c>
      <c r="I9" s="463">
        <f>H9+367</f>
        <v>1101</v>
      </c>
      <c r="J9" s="463">
        <f>I9+367</f>
        <v>1468</v>
      </c>
      <c r="K9" s="463">
        <f>J9+367</f>
        <v>1835</v>
      </c>
      <c r="L9" s="463">
        <f>K9+300</f>
        <v>2135</v>
      </c>
      <c r="M9" s="463">
        <f>L9+195*5</f>
        <v>3110</v>
      </c>
    </row>
    <row r="10" spans="1:13" ht="54" customHeight="1">
      <c r="A10" s="459">
        <v>5</v>
      </c>
      <c r="B10" s="460" t="s">
        <v>224</v>
      </c>
      <c r="C10" s="461" t="s">
        <v>47</v>
      </c>
      <c r="D10" s="464" t="s">
        <v>394</v>
      </c>
      <c r="E10" s="464" t="s">
        <v>394</v>
      </c>
      <c r="F10" s="464" t="s">
        <v>394</v>
      </c>
      <c r="G10" s="463" t="e">
        <f>ИНДИКАТОРЫ!F20</f>
        <v>#REF!</v>
      </c>
      <c r="H10" s="463" t="e">
        <f>G10+ИНДИКАТОРЫ!G20</f>
        <v>#REF!</v>
      </c>
      <c r="I10" s="463" t="e">
        <f>H10+ИНДИКАТОРЫ!H20</f>
        <v>#REF!</v>
      </c>
      <c r="J10" s="463" t="e">
        <f>I10+ИНДИКАТОРЫ!I20</f>
        <v>#REF!</v>
      </c>
      <c r="K10" s="463" t="e">
        <f>J10+ИНДИКАТОРЫ!J20</f>
        <v>#REF!</v>
      </c>
      <c r="L10" s="463" t="e">
        <f>K10+266</f>
        <v>#REF!</v>
      </c>
      <c r="M10" s="463" t="e">
        <f>L10+185*5</f>
        <v>#REF!</v>
      </c>
    </row>
    <row r="11" spans="1:13" ht="47.25" customHeight="1">
      <c r="A11" s="459">
        <v>6</v>
      </c>
      <c r="B11" s="460" t="s">
        <v>225</v>
      </c>
      <c r="C11" s="461" t="s">
        <v>751</v>
      </c>
      <c r="D11" s="463">
        <v>13092</v>
      </c>
      <c r="E11" s="463">
        <f>ИНДИКАТОРЫ!L18</f>
        <v>16592</v>
      </c>
      <c r="F11" s="463">
        <f>ИНДИКАТОРЫ!M18</f>
        <v>16344</v>
      </c>
      <c r="G11" s="463">
        <f>ИНДИКАТОРЫ!F18</f>
        <v>17978.4</v>
      </c>
      <c r="H11" s="463">
        <f>ИНДИКАТОРЫ!G18</f>
        <v>19776.24</v>
      </c>
      <c r="I11" s="463">
        <f>ИНДИКАТОРЫ!H18</f>
        <v>21852.7452</v>
      </c>
      <c r="J11" s="463">
        <f>ИНДИКАТОРЫ!I18</f>
        <v>24256.547172000002</v>
      </c>
      <c r="K11" s="463">
        <f>ИНДИКАТОРЫ!J18</f>
        <v>27167.332832640004</v>
      </c>
      <c r="L11" s="463">
        <f>K11*1.08</f>
        <v>29340.719459251206</v>
      </c>
      <c r="M11" s="463">
        <f>L11*1.05*1.04*1.03*1.02*1.02</f>
        <v>34334.518830794485</v>
      </c>
    </row>
    <row r="12" spans="1:13" ht="48" customHeight="1">
      <c r="A12" s="459">
        <v>7</v>
      </c>
      <c r="B12" s="460" t="s">
        <v>233</v>
      </c>
      <c r="C12" s="461" t="s">
        <v>226</v>
      </c>
      <c r="D12" s="463">
        <f>('[1]Данные по городу'!$F$32-'[1]Градообр.организация'!$E$11)/1000+D13</f>
        <v>3750.906</v>
      </c>
      <c r="E12" s="463">
        <f>ИНДИКАТОРЫ!L8</f>
        <v>2843.6</v>
      </c>
      <c r="F12" s="463">
        <f>ИНДИКАТОРЫ!M8</f>
        <v>518.4</v>
      </c>
      <c r="G12" s="463" t="e">
        <f>ИНДИКАТОРЫ!F8</f>
        <v>#REF!</v>
      </c>
      <c r="H12" s="463" t="e">
        <f>ИНДИКАТОРЫ!G8</f>
        <v>#REF!</v>
      </c>
      <c r="I12" s="463" t="e">
        <f>ИНДИКАТОРЫ!H8</f>
        <v>#REF!</v>
      </c>
      <c r="J12" s="463" t="e">
        <f>ИНДИКАТОРЫ!I8</f>
        <v>#REF!</v>
      </c>
      <c r="K12" s="463" t="e">
        <f>ИНДИКАТОРЫ!J8</f>
        <v>#REF!</v>
      </c>
      <c r="L12" s="463" t="e">
        <f>K12*1.11</f>
        <v>#REF!</v>
      </c>
      <c r="M12" s="463" t="e">
        <f>L12*1.1*1.09*1.08*1.08*1.07</f>
        <v>#REF!</v>
      </c>
    </row>
    <row r="13" spans="1:13" ht="51" customHeight="1">
      <c r="A13" s="459">
        <v>9</v>
      </c>
      <c r="B13" s="460" t="s">
        <v>227</v>
      </c>
      <c r="C13" s="461" t="s">
        <v>226</v>
      </c>
      <c r="D13" s="463">
        <f>'[1]Градообр.организация'!$E$11/1000</f>
        <v>3498.572</v>
      </c>
      <c r="E13" s="463">
        <f>ИНДИКАТОРЫ!L12%*ИНДИКАТОРЫ!L8</f>
        <v>2380</v>
      </c>
      <c r="F13" s="463">
        <f>ИНДИКАТОРЫ!M12%*ИНДИКАТОРЫ!M8</f>
        <v>106</v>
      </c>
      <c r="G13" s="463" t="e">
        <f>ИНДИКАТОРЫ!F12%*ИНДИКАТОРЫ!F8</f>
        <v>#REF!</v>
      </c>
      <c r="H13" s="463" t="e">
        <f>ИНДИКАТОРЫ!G12%*ИНДИКАТОРЫ!G8</f>
        <v>#REF!</v>
      </c>
      <c r="I13" s="463" t="e">
        <f>ИНДИКАТОРЫ!H12%*ИНДИКАТОРЫ!H8</f>
        <v>#REF!</v>
      </c>
      <c r="J13" s="463" t="e">
        <f>ИНДИКАТОРЫ!I12%*ИНДИКАТОРЫ!I8</f>
        <v>#REF!</v>
      </c>
      <c r="K13" s="463" t="e">
        <f>ИНДИКАТОРЫ!J12%*ИНДИКАТОРЫ!J8</f>
        <v>#REF!</v>
      </c>
      <c r="L13" s="463" t="e">
        <f>K13*0.8*1.1</f>
        <v>#REF!</v>
      </c>
      <c r="M13" s="463">
        <v>0</v>
      </c>
    </row>
    <row r="14" spans="1:13" ht="60.75" customHeight="1">
      <c r="A14" s="459">
        <v>10</v>
      </c>
      <c r="B14" s="462" t="s">
        <v>258</v>
      </c>
      <c r="C14" s="461" t="s">
        <v>712</v>
      </c>
      <c r="D14" s="465">
        <f>'[1]Градообр.организация'!$E$11/'[1]Данные по городу'!$F$32*100</f>
        <v>93.27271864450883</v>
      </c>
      <c r="E14" s="465">
        <f>ИНДИКАТОРЫ!L12</f>
        <v>83.69672246448164</v>
      </c>
      <c r="F14" s="465">
        <f>ИНДИКАТОРЫ!M12</f>
        <v>20.44753086419753</v>
      </c>
      <c r="G14" s="465" t="e">
        <f>ИНДИКАТОРЫ!F12</f>
        <v>#REF!</v>
      </c>
      <c r="H14" s="465" t="e">
        <f>ИНДИКАТОРЫ!G12</f>
        <v>#REF!</v>
      </c>
      <c r="I14" s="465" t="e">
        <f>ИНДИКАТОРЫ!H12</f>
        <v>#REF!</v>
      </c>
      <c r="J14" s="465" t="e">
        <f>ИНДИКАТОРЫ!I12</f>
        <v>#REF!</v>
      </c>
      <c r="K14" s="465" t="e">
        <f>ИНДИКАТОРЫ!J12</f>
        <v>#REF!</v>
      </c>
      <c r="L14" s="465" t="e">
        <f>L13/(L13+L12)*100</f>
        <v>#REF!</v>
      </c>
      <c r="M14" s="465">
        <v>0</v>
      </c>
    </row>
    <row r="15" spans="1:13" ht="51.75" customHeight="1">
      <c r="A15" s="459">
        <v>11</v>
      </c>
      <c r="B15" s="462" t="s">
        <v>228</v>
      </c>
      <c r="C15" s="461" t="s">
        <v>712</v>
      </c>
      <c r="D15" s="465">
        <f>115/D13*100</f>
        <v>3.287055404319248</v>
      </c>
      <c r="E15" s="465">
        <f>120/E13*100</f>
        <v>5.042016806722689</v>
      </c>
      <c r="F15" s="465">
        <f>139/F12*100</f>
        <v>26.813271604938272</v>
      </c>
      <c r="G15" s="465" t="e">
        <f>(140+#REF!)/G12*100</f>
        <v>#REF!</v>
      </c>
      <c r="H15" s="465" t="e">
        <f>(140+#REF!)/'Цел пок вар 1'!H12*100</f>
        <v>#REF!</v>
      </c>
      <c r="I15" s="467" t="e">
        <f>(250+#REF!)/'Цел пок вар 1'!I12*100</f>
        <v>#REF!</v>
      </c>
      <c r="J15" s="467" t="e">
        <f>(250+#REF!)/'Цел пок вар 1'!J12*100</f>
        <v>#REF!</v>
      </c>
      <c r="K15" s="467" t="e">
        <f>(450+#REF!)/'Цел пок вар 1'!K12*100</f>
        <v>#REF!</v>
      </c>
      <c r="L15" s="467" t="e">
        <f>(500+#REF!*1.19)/'Цел пок вар 1'!L12*100</f>
        <v>#REF!</v>
      </c>
      <c r="M15" s="467">
        <v>59</v>
      </c>
    </row>
    <row r="16" spans="1:13" ht="29.25" customHeight="1">
      <c r="A16" s="459">
        <v>12</v>
      </c>
      <c r="B16" s="460" t="s">
        <v>230</v>
      </c>
      <c r="C16" s="461" t="s">
        <v>747</v>
      </c>
      <c r="D16" s="463">
        <v>187</v>
      </c>
      <c r="E16" s="463">
        <v>195</v>
      </c>
      <c r="F16" s="463">
        <v>205</v>
      </c>
      <c r="G16" s="463">
        <f>F16*0.95+15</f>
        <v>209.75</v>
      </c>
      <c r="H16" s="463">
        <f>G16*0.95+18</f>
        <v>217.2625</v>
      </c>
      <c r="I16" s="468">
        <f>H16*0.95+18</f>
        <v>224.399375</v>
      </c>
      <c r="J16" s="468">
        <f>I16*0.95+18</f>
        <v>231.17940624999997</v>
      </c>
      <c r="K16" s="468">
        <f>J16*0.95+18</f>
        <v>237.62043593749996</v>
      </c>
      <c r="L16" s="468">
        <f>K16*0.95+20</f>
        <v>245.73941414062494</v>
      </c>
      <c r="M16" s="468">
        <f>((((L16*0.95+20)*0.95+21)*0.95+18)*0.96+15)*0.95+21</f>
        <v>278.47203714132223</v>
      </c>
    </row>
    <row r="17" spans="1:13" ht="36.75" customHeight="1">
      <c r="A17" s="459">
        <v>13</v>
      </c>
      <c r="B17" s="460" t="s">
        <v>232</v>
      </c>
      <c r="C17" s="461" t="s">
        <v>226</v>
      </c>
      <c r="D17" s="464" t="s">
        <v>394</v>
      </c>
      <c r="E17" s="464" t="s">
        <v>394</v>
      </c>
      <c r="F17" s="464" t="s">
        <v>394</v>
      </c>
      <c r="G17" s="463" t="e">
        <f>#REF!*0.33</f>
        <v>#REF!</v>
      </c>
      <c r="H17" s="463" t="e">
        <f>#REF!*0.33</f>
        <v>#REF!</v>
      </c>
      <c r="I17" s="468" t="e">
        <f>#REF!*0.33</f>
        <v>#REF!</v>
      </c>
      <c r="J17" s="468" t="e">
        <f>#REF!*0.33+2</f>
        <v>#REF!</v>
      </c>
      <c r="K17" s="468" t="e">
        <f>#REF!*0.33+5</f>
        <v>#REF!</v>
      </c>
      <c r="L17" s="468">
        <v>32</v>
      </c>
      <c r="M17" s="468">
        <v>55</v>
      </c>
    </row>
    <row r="18" spans="1:13" ht="34.5" customHeight="1">
      <c r="A18" s="459">
        <v>14</v>
      </c>
      <c r="B18" s="460" t="s">
        <v>231</v>
      </c>
      <c r="C18" s="461" t="s">
        <v>226</v>
      </c>
      <c r="D18" s="463">
        <f>('[1]Данные по городу'!$F$36/1000)-('[1]Параметры бюджета'!$C$39/1000)</f>
        <v>592.64</v>
      </c>
      <c r="E18" s="463">
        <f>('[1]Данные по городу'!$G$36/1000)-('[1]Параметры бюджета'!$D$39/1000)</f>
        <v>97.883</v>
      </c>
      <c r="F18" s="463">
        <v>0</v>
      </c>
      <c r="G18" s="463" t="e">
        <f>#REF!+#REF!+#REF!</f>
        <v>#REF!</v>
      </c>
      <c r="H18" s="463" t="e">
        <f>#REF!+#REF!+#REF!</f>
        <v>#REF!</v>
      </c>
      <c r="I18" s="468" t="e">
        <f>#REF!+#REF!+#REF!</f>
        <v>#REF!</v>
      </c>
      <c r="J18" s="468" t="e">
        <f>#REF!+#REF!+#REF!</f>
        <v>#REF!</v>
      </c>
      <c r="K18" s="468" t="e">
        <f>#REF!+#REF!+#REF!</f>
        <v>#REF!</v>
      </c>
      <c r="L18" s="468">
        <v>1225</v>
      </c>
      <c r="M18" s="468">
        <v>650</v>
      </c>
    </row>
    <row r="19" spans="1:13" ht="35.25" customHeight="1">
      <c r="A19" s="459">
        <v>15</v>
      </c>
      <c r="B19" s="460" t="s">
        <v>257</v>
      </c>
      <c r="C19" s="461" t="s">
        <v>226</v>
      </c>
      <c r="D19" s="463">
        <f>('[1]Параметры бюджета'!$C$8+'[1]Параметры бюджета'!$C$23)/'[1]Параметры бюджета'!$C$7*100</f>
        <v>53.2159247002997</v>
      </c>
      <c r="E19" s="463">
        <f>100-ИНДИКАТОРЫ!L26</f>
        <v>37.38214155945732</v>
      </c>
      <c r="F19" s="463">
        <f>100-ИНДИКАТОРЫ!M26</f>
        <v>18.182950530762838</v>
      </c>
      <c r="G19" s="463" t="e">
        <f>100-ИНДИКАТОРЫ!F26</f>
        <v>#REF!</v>
      </c>
      <c r="H19" s="463" t="e">
        <f>100-ИНДИКАТОРЫ!G26</f>
        <v>#REF!</v>
      </c>
      <c r="I19" s="468" t="e">
        <f>100-ИНДИКАТОРЫ!H26</f>
        <v>#REF!</v>
      </c>
      <c r="J19" s="468" t="e">
        <f>100-ИНДИКАТОРЫ!I26</f>
        <v>#REF!</v>
      </c>
      <c r="K19" s="468" t="e">
        <f>100-ИНДИКАТОРЫ!J26</f>
        <v>#REF!</v>
      </c>
      <c r="L19" s="468">
        <v>84</v>
      </c>
      <c r="M19" s="468">
        <v>95</v>
      </c>
    </row>
  </sheetData>
  <sheetProtection/>
  <mergeCells count="6">
    <mergeCell ref="A2:M2"/>
    <mergeCell ref="G4:M4"/>
    <mergeCell ref="A4:A5"/>
    <mergeCell ref="B4:B5"/>
    <mergeCell ref="C4:C5"/>
    <mergeCell ref="D4:F4"/>
  </mergeCells>
  <printOptions/>
  <pageMargins left="0.3937007874015748" right="0" top="0.17" bottom="0.19" header="0.21" footer="0.19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</sheetPr>
  <dimension ref="A2:M19"/>
  <sheetViews>
    <sheetView zoomScale="75" zoomScaleNormal="75" zoomScalePageLayoutView="0" workbookViewId="0" topLeftCell="B1">
      <selection activeCell="A192" sqref="A192:T192"/>
    </sheetView>
  </sheetViews>
  <sheetFormatPr defaultColWidth="9.00390625" defaultRowHeight="12.75"/>
  <cols>
    <col min="1" max="1" width="3.875" style="484" hidden="1" customWidth="1"/>
    <col min="2" max="2" width="57.75390625" style="483" customWidth="1"/>
    <col min="3" max="3" width="7.75390625" style="485" customWidth="1"/>
    <col min="4" max="4" width="11.75390625" style="483" customWidth="1"/>
    <col min="5" max="5" width="12.75390625" style="483" customWidth="1"/>
    <col min="6" max="6" width="13.00390625" style="483" customWidth="1"/>
    <col min="7" max="7" width="12.375" style="483" customWidth="1"/>
    <col min="8" max="8" width="10.875" style="483" customWidth="1"/>
    <col min="9" max="9" width="13.00390625" style="483" customWidth="1"/>
    <col min="10" max="11" width="11.75390625" style="483" customWidth="1"/>
    <col min="12" max="12" width="12.375" style="483" customWidth="1"/>
    <col min="13" max="13" width="13.75390625" style="483" customWidth="1"/>
    <col min="14" max="16384" width="9.125" style="483" customWidth="1"/>
  </cols>
  <sheetData>
    <row r="2" spans="1:13" ht="38.25" customHeight="1">
      <c r="A2" s="1012" t="s">
        <v>259</v>
      </c>
      <c r="B2" s="1013"/>
      <c r="C2" s="1013"/>
      <c r="D2" s="1013"/>
      <c r="E2" s="1013"/>
      <c r="F2" s="1013"/>
      <c r="G2" s="1013"/>
      <c r="H2" s="1013"/>
      <c r="I2" s="1013"/>
      <c r="J2" s="1013"/>
      <c r="K2" s="1013"/>
      <c r="L2" s="1013"/>
      <c r="M2" s="1013"/>
    </row>
    <row r="3" ht="12.75">
      <c r="B3" s="267"/>
    </row>
    <row r="4" spans="1:13" s="1" customFormat="1" ht="15.75">
      <c r="A4" s="863" t="s">
        <v>64</v>
      </c>
      <c r="B4" s="1015" t="s">
        <v>722</v>
      </c>
      <c r="C4" s="1016" t="s">
        <v>723</v>
      </c>
      <c r="D4" s="1014" t="s">
        <v>217</v>
      </c>
      <c r="E4" s="1014"/>
      <c r="F4" s="1014"/>
      <c r="G4" s="1014" t="s">
        <v>218</v>
      </c>
      <c r="H4" s="1014"/>
      <c r="I4" s="1014"/>
      <c r="J4" s="1014"/>
      <c r="K4" s="1014"/>
      <c r="L4" s="1014"/>
      <c r="M4" s="1014"/>
    </row>
    <row r="5" spans="1:13" s="1" customFormat="1" ht="33" customHeight="1">
      <c r="A5" s="864"/>
      <c r="B5" s="1015"/>
      <c r="C5" s="1016"/>
      <c r="D5" s="466">
        <v>2007</v>
      </c>
      <c r="E5" s="466">
        <v>2008</v>
      </c>
      <c r="F5" s="466">
        <v>2009</v>
      </c>
      <c r="G5" s="466">
        <v>2010</v>
      </c>
      <c r="H5" s="466">
        <v>2011</v>
      </c>
      <c r="I5" s="466">
        <v>2012</v>
      </c>
      <c r="J5" s="466">
        <v>2013</v>
      </c>
      <c r="K5" s="466">
        <v>2014</v>
      </c>
      <c r="L5" s="466">
        <v>2015</v>
      </c>
      <c r="M5" s="466">
        <v>2020</v>
      </c>
    </row>
    <row r="6" spans="1:13" ht="47.25" customHeight="1">
      <c r="A6" s="459">
        <v>1</v>
      </c>
      <c r="B6" s="460" t="s">
        <v>219</v>
      </c>
      <c r="C6" s="461" t="s">
        <v>712</v>
      </c>
      <c r="D6" s="465">
        <f>'Баланс ТР '!D11/'Баланс ТР '!D7*100</f>
        <v>24.060307821170557</v>
      </c>
      <c r="E6" s="465">
        <f>'Баланс ТР '!E11/'Баланс ТР '!E7*100</f>
        <v>24.581545064377682</v>
      </c>
      <c r="F6" s="465">
        <f>'Баланс ТР '!F11/'Баланс ТР '!F7*100</f>
        <v>9.672131147540984</v>
      </c>
      <c r="G6" s="465">
        <f>'Баланс ТР '!G11/'Баланс ТР '!G7*100</f>
        <v>14.039711698429342</v>
      </c>
      <c r="H6" s="465">
        <f>'Баланс ТР '!H11/'Баланс ТР '!H7*100</f>
        <v>13.905229569352858</v>
      </c>
      <c r="I6" s="465">
        <f>'Баланс ТР '!I11/'Баланс ТР '!I7*100</f>
        <v>13.744099202008893</v>
      </c>
      <c r="J6" s="465">
        <f>1260/'Баланс ТР '!J7*100</f>
        <v>13.79125360671857</v>
      </c>
      <c r="K6" s="465">
        <f>1275/'Баланс ТР '!K7*100</f>
        <v>13.913480421830354</v>
      </c>
      <c r="L6" s="465">
        <f>1290/9200*100</f>
        <v>14.021739130434781</v>
      </c>
      <c r="M6" s="465">
        <v>5</v>
      </c>
    </row>
    <row r="7" spans="1:13" ht="39" customHeight="1">
      <c r="A7" s="459">
        <v>2</v>
      </c>
      <c r="B7" s="460" t="s">
        <v>220</v>
      </c>
      <c r="C7" s="461" t="s">
        <v>712</v>
      </c>
      <c r="D7" s="465">
        <f>898/9551*100</f>
        <v>9.402156842215474</v>
      </c>
      <c r="E7" s="465">
        <f>ИНДИКАТОРЫ!L24/'Баланс ТР '!E7*100</f>
        <v>11.644635193133048</v>
      </c>
      <c r="F7" s="465">
        <f>ИНДИКАТОРЫ!M24/'Баланс ТР '!F7*100</f>
        <v>13.989071038251366</v>
      </c>
      <c r="G7" s="465" t="e">
        <f>ИНДИКАТОРЫ!F25/'Баланс ТР '!G7*100</f>
        <v>#REF!</v>
      </c>
      <c r="H7" s="465" t="e">
        <f>ИНДИКАТОРЫ!G25/'Баланс ТР '!H7*100</f>
        <v>#REF!</v>
      </c>
      <c r="I7" s="465" t="e">
        <f>ИНДИКАТОРЫ!H25/'Баланс ТР '!I7*100</f>
        <v>#REF!</v>
      </c>
      <c r="J7" s="465" t="e">
        <f>ИНДИКАТОРЫ!I25/'Баланс ТР '!J7*100</f>
        <v>#REF!</v>
      </c>
      <c r="K7" s="465" t="e">
        <f>ИНДИКАТОРЫ!J25/'Баланс ТР '!K7*100</f>
        <v>#REF!</v>
      </c>
      <c r="L7" s="465">
        <v>16</v>
      </c>
      <c r="M7" s="465">
        <v>19</v>
      </c>
    </row>
    <row r="8" spans="1:13" ht="30" customHeight="1">
      <c r="A8" s="459">
        <v>3</v>
      </c>
      <c r="B8" s="460" t="s">
        <v>221</v>
      </c>
      <c r="C8" s="461" t="s">
        <v>712</v>
      </c>
      <c r="D8" s="465">
        <v>2.8</v>
      </c>
      <c r="E8" s="465">
        <f>ИНДИКАТОРЫ!L22</f>
        <v>5.21</v>
      </c>
      <c r="F8" s="465">
        <f>ИНДИКАТОРЫ!M22</f>
        <v>15.6</v>
      </c>
      <c r="G8" s="465" t="e">
        <f>ИНДИКАТОРЫ!F23</f>
        <v>#REF!</v>
      </c>
      <c r="H8" s="465" t="e">
        <f>ИНДИКАТОРЫ!G23</f>
        <v>#REF!</v>
      </c>
      <c r="I8" s="465" t="e">
        <f>ИНДИКАТОРЫ!H23</f>
        <v>#REF!</v>
      </c>
      <c r="J8" s="465" t="e">
        <f>ИНДИКАТОРЫ!I23</f>
        <v>#REF!</v>
      </c>
      <c r="K8" s="465" t="e">
        <f>ИНДИКАТОРЫ!J23</f>
        <v>#REF!</v>
      </c>
      <c r="L8" s="465">
        <v>4.3</v>
      </c>
      <c r="M8" s="465">
        <v>18</v>
      </c>
    </row>
    <row r="9" spans="1:13" ht="56.25" customHeight="1">
      <c r="A9" s="459">
        <v>4</v>
      </c>
      <c r="B9" s="460" t="s">
        <v>223</v>
      </c>
      <c r="C9" s="461" t="s">
        <v>47</v>
      </c>
      <c r="D9" s="464" t="s">
        <v>394</v>
      </c>
      <c r="E9" s="464" t="s">
        <v>394</v>
      </c>
      <c r="F9" s="464" t="s">
        <v>394</v>
      </c>
      <c r="G9" s="463">
        <f>367</f>
        <v>367</v>
      </c>
      <c r="H9" s="463">
        <f>G9+367-100</f>
        <v>634</v>
      </c>
      <c r="I9" s="463">
        <f>H9+367-100</f>
        <v>901</v>
      </c>
      <c r="J9" s="463">
        <f>I9+367-100</f>
        <v>1168</v>
      </c>
      <c r="K9" s="463">
        <f>J9+367-100</f>
        <v>1435</v>
      </c>
      <c r="L9" s="463">
        <f>K9+100</f>
        <v>1535</v>
      </c>
      <c r="M9" s="463">
        <f>L9+50*4+165</f>
        <v>1900</v>
      </c>
    </row>
    <row r="10" spans="1:13" ht="54" customHeight="1">
      <c r="A10" s="459">
        <v>5</v>
      </c>
      <c r="B10" s="460" t="s">
        <v>224</v>
      </c>
      <c r="C10" s="461" t="s">
        <v>47</v>
      </c>
      <c r="D10" s="464" t="s">
        <v>394</v>
      </c>
      <c r="E10" s="464" t="s">
        <v>394</v>
      </c>
      <c r="F10" s="464" t="s">
        <v>394</v>
      </c>
      <c r="G10" s="463" t="e">
        <f>ИНДИКАТОРЫ!F21</f>
        <v>#REF!</v>
      </c>
      <c r="H10" s="463" t="e">
        <f>ИНДИКАТОРЫ!G21+G10</f>
        <v>#REF!</v>
      </c>
      <c r="I10" s="463" t="e">
        <f>ИНДИКАТОРЫ!H21+H10</f>
        <v>#REF!</v>
      </c>
      <c r="J10" s="463" t="e">
        <f>ИНДИКАТОРЫ!I21+I10</f>
        <v>#REF!</v>
      </c>
      <c r="K10" s="463" t="e">
        <f>ИНДИКАТОРЫ!J21+J10</f>
        <v>#REF!</v>
      </c>
      <c r="L10" s="463" t="e">
        <f>K10+50</f>
        <v>#REF!</v>
      </c>
      <c r="M10" s="463" t="e">
        <f>L10+30*5</f>
        <v>#REF!</v>
      </c>
    </row>
    <row r="11" spans="1:13" ht="47.25" customHeight="1">
      <c r="A11" s="459">
        <v>6</v>
      </c>
      <c r="B11" s="460" t="s">
        <v>225</v>
      </c>
      <c r="C11" s="461" t="s">
        <v>751</v>
      </c>
      <c r="D11" s="463">
        <v>13092</v>
      </c>
      <c r="E11" s="463">
        <f>ИНДИКАТОРЫ!L18</f>
        <v>16592</v>
      </c>
      <c r="F11" s="463">
        <f>ИНДИКАТОРЫ!M18</f>
        <v>16344</v>
      </c>
      <c r="G11" s="463">
        <f>ИНДИКАТОРЫ!F19</f>
        <v>17439.048</v>
      </c>
      <c r="H11" s="463">
        <f>ИНДИКАТОРЫ!G19</f>
        <v>18537.708024</v>
      </c>
      <c r="I11" s="463">
        <f>ИНДИКАТОРЫ!H19</f>
        <v>19928.777634120957</v>
      </c>
      <c r="J11" s="463">
        <f>ИНДИКАТОРЫ!I19</f>
        <v>21391.549912465438</v>
      </c>
      <c r="K11" s="463">
        <f>ИНДИКАТОРЫ!J19</f>
        <v>22991.42393041872</v>
      </c>
      <c r="L11" s="463">
        <f>K11*1.05</f>
        <v>24140.99512693966</v>
      </c>
      <c r="M11" s="463">
        <f>L11*1.04*1.03*1.02*1.02*1.01</f>
        <v>27173.616985496556</v>
      </c>
    </row>
    <row r="12" spans="1:13" ht="48" customHeight="1">
      <c r="A12" s="459">
        <v>7</v>
      </c>
      <c r="B12" s="460" t="s">
        <v>233</v>
      </c>
      <c r="C12" s="461" t="s">
        <v>226</v>
      </c>
      <c r="D12" s="463">
        <f>('[1]Данные по городу'!$F$32-'[1]Градообр.организация'!$E$11)/1000+D13</f>
        <v>3750.906</v>
      </c>
      <c r="E12" s="463">
        <f>ИНДИКАТОРЫ!L8</f>
        <v>2843.6</v>
      </c>
      <c r="F12" s="463">
        <f>ИНДИКАТОРЫ!M8</f>
        <v>518.4</v>
      </c>
      <c r="G12" s="463" t="e">
        <f>ИНДИКАТОРЫ!F9</f>
        <v>#REF!</v>
      </c>
      <c r="H12" s="463" t="e">
        <f>ИНДИКАТОРЫ!G9</f>
        <v>#REF!</v>
      </c>
      <c r="I12" s="463" t="e">
        <f>ИНДИКАТОРЫ!H9</f>
        <v>#REF!</v>
      </c>
      <c r="J12" s="463" t="e">
        <f>ИНДИКАТОРЫ!I9</f>
        <v>#REF!</v>
      </c>
      <c r="K12" s="463" t="e">
        <f>ИНДИКАТОРЫ!J9</f>
        <v>#REF!</v>
      </c>
      <c r="L12" s="463" t="e">
        <f>K12*1.05</f>
        <v>#REF!</v>
      </c>
      <c r="M12" s="463" t="e">
        <f>(L12-2559)*1.05*1.04*1.04*1.03*1.02+520</f>
        <v>#REF!</v>
      </c>
    </row>
    <row r="13" spans="1:13" ht="51" customHeight="1">
      <c r="A13" s="459">
        <v>9</v>
      </c>
      <c r="B13" s="460" t="s">
        <v>227</v>
      </c>
      <c r="C13" s="461" t="s">
        <v>226</v>
      </c>
      <c r="D13" s="463">
        <f>'[1]Градообр.организация'!$E$11/1000</f>
        <v>3498.572</v>
      </c>
      <c r="E13" s="463">
        <f>ИНДИКАТОРЫ!L12%*ИНДИКАТОРЫ!L8</f>
        <v>2380</v>
      </c>
      <c r="F13" s="463">
        <f>ИНДИКАТОРЫ!M12%*ИНДИКАТОРЫ!M8</f>
        <v>106</v>
      </c>
      <c r="G13" s="463" t="e">
        <f>G12*ИНДИКАТОРЫ!F15/100</f>
        <v>#REF!</v>
      </c>
      <c r="H13" s="463" t="e">
        <f>H12*ИНДИКАТОРЫ!G15/100</f>
        <v>#REF!</v>
      </c>
      <c r="I13" s="463" t="e">
        <f>I12*ИНДИКАТОРЫ!H15/100</f>
        <v>#REF!</v>
      </c>
      <c r="J13" s="463" t="e">
        <f>J12*ИНДИКАТОРЫ!I15/100</f>
        <v>#REF!</v>
      </c>
      <c r="K13" s="463" t="e">
        <f>K12*ИНДИКАТОРЫ!J15/100</f>
        <v>#REF!</v>
      </c>
      <c r="L13" s="463" t="e">
        <f>L12*0.501</f>
        <v>#REF!</v>
      </c>
      <c r="M13" s="463">
        <v>520</v>
      </c>
    </row>
    <row r="14" spans="1:13" ht="60.75" customHeight="1">
      <c r="A14" s="459">
        <v>10</v>
      </c>
      <c r="B14" s="462" t="s">
        <v>258</v>
      </c>
      <c r="C14" s="461" t="s">
        <v>712</v>
      </c>
      <c r="D14" s="465">
        <f>'[1]Градообр.организация'!$E$11/'[1]Данные по городу'!$F$32*100</f>
        <v>93.27271864450883</v>
      </c>
      <c r="E14" s="465">
        <f>ИНДИКАТОРЫ!L12</f>
        <v>83.69672246448164</v>
      </c>
      <c r="F14" s="465">
        <f>ИНДИКАТОРЫ!M12</f>
        <v>20.44753086419753</v>
      </c>
      <c r="G14" s="465" t="e">
        <f>ИНДИКАТОРЫ!F15</f>
        <v>#REF!</v>
      </c>
      <c r="H14" s="465" t="e">
        <f>ИНДИКАТОРЫ!G15</f>
        <v>#REF!</v>
      </c>
      <c r="I14" s="465">
        <f>ИНДИКАТОРЫ!H15</f>
        <v>50.2</v>
      </c>
      <c r="J14" s="465">
        <f>ИНДИКАТОРЫ!I15</f>
        <v>50.1</v>
      </c>
      <c r="K14" s="465">
        <f>ИНДИКАТОРЫ!J15</f>
        <v>50</v>
      </c>
      <c r="L14" s="465" t="e">
        <f>L13/L12*100</f>
        <v>#REF!</v>
      </c>
      <c r="M14" s="465" t="e">
        <f>M13/M12*100</f>
        <v>#REF!</v>
      </c>
    </row>
    <row r="15" spans="1:13" ht="51.75" customHeight="1">
      <c r="A15" s="459">
        <v>11</v>
      </c>
      <c r="B15" s="462" t="s">
        <v>228</v>
      </c>
      <c r="C15" s="461" t="s">
        <v>712</v>
      </c>
      <c r="D15" s="465">
        <f>115/D13*100</f>
        <v>3.287055404319248</v>
      </c>
      <c r="E15" s="465">
        <f>120/E13*100</f>
        <v>5.042016806722689</v>
      </c>
      <c r="F15" s="465">
        <f>139/F12*100</f>
        <v>26.813271604938272</v>
      </c>
      <c r="G15" s="465" t="e">
        <f>(140+Выручки!E37+Выручки!E53*0.3)/G12*100</f>
        <v>#REF!</v>
      </c>
      <c r="H15" s="465" t="e">
        <f>(160+Выручки!E38*0.8+Выручки!E54*0.15)/H12*100</f>
        <v>#REF!</v>
      </c>
      <c r="I15" s="467" t="e">
        <f>(160+Выручки!E39*0.7+Выручки!E55*0.15)/I12*100</f>
        <v>#REF!</v>
      </c>
      <c r="J15" s="467" t="e">
        <f>(180+Выручки!E40*0.7+Выручки!E56*0.15)/J12*100</f>
        <v>#REF!</v>
      </c>
      <c r="K15" s="467" t="e">
        <f>(200+Выручки!E41*0.9+Выручки!E57*0.15)/K12*100</f>
        <v>#REF!</v>
      </c>
      <c r="L15" s="467">
        <v>32</v>
      </c>
      <c r="M15" s="467">
        <v>52</v>
      </c>
    </row>
    <row r="16" spans="1:13" ht="29.25" customHeight="1">
      <c r="A16" s="459">
        <v>12</v>
      </c>
      <c r="B16" s="460" t="s">
        <v>230</v>
      </c>
      <c r="C16" s="461" t="s">
        <v>747</v>
      </c>
      <c r="D16" s="463">
        <v>187</v>
      </c>
      <c r="E16" s="463">
        <v>195</v>
      </c>
      <c r="F16" s="463">
        <v>205</v>
      </c>
      <c r="G16" s="463">
        <f>F16*0.98+4</f>
        <v>204.9</v>
      </c>
      <c r="H16" s="463">
        <f>G16*0.98+8</f>
        <v>208.802</v>
      </c>
      <c r="I16" s="463">
        <f>H16*0.98+6</f>
        <v>210.62596</v>
      </c>
      <c r="J16" s="463">
        <f>I16*0.98+6</f>
        <v>212.4134408</v>
      </c>
      <c r="K16" s="463">
        <f>J16*0.98+6</f>
        <v>214.16517198399998</v>
      </c>
      <c r="L16" s="468">
        <f>K16*0.97+7</f>
        <v>214.74021682447997</v>
      </c>
      <c r="M16" s="468">
        <f>((((L16*0.98+7)*0.98+7)*0.97+6)*0.98+3)*0.97+9</f>
        <v>220.56062482099614</v>
      </c>
    </row>
    <row r="17" spans="1:13" ht="36.75" customHeight="1">
      <c r="A17" s="459">
        <v>13</v>
      </c>
      <c r="B17" s="460" t="s">
        <v>232</v>
      </c>
      <c r="C17" s="461" t="s">
        <v>226</v>
      </c>
      <c r="D17" s="464" t="s">
        <v>394</v>
      </c>
      <c r="E17" s="464" t="s">
        <v>394</v>
      </c>
      <c r="F17" s="464" t="s">
        <v>394</v>
      </c>
      <c r="G17" s="463" t="e">
        <f>(#REF!-#REF!)*0.33</f>
        <v>#REF!</v>
      </c>
      <c r="H17" s="463" t="e">
        <f>(#REF!-#REF!)*0.33</f>
        <v>#REF!</v>
      </c>
      <c r="I17" s="468" t="e">
        <f>(#REF!-#REF!)*0.33</f>
        <v>#REF!</v>
      </c>
      <c r="J17" s="468" t="e">
        <f>(#REF!-#REF!)*0.33</f>
        <v>#REF!</v>
      </c>
      <c r="K17" s="468" t="e">
        <f>(#REF!-#REF!)*0.33</f>
        <v>#REF!</v>
      </c>
      <c r="L17" s="468">
        <v>10</v>
      </c>
      <c r="M17" s="468">
        <v>15</v>
      </c>
    </row>
    <row r="18" spans="1:13" ht="34.5" customHeight="1">
      <c r="A18" s="459">
        <v>14</v>
      </c>
      <c r="B18" s="460" t="s">
        <v>231</v>
      </c>
      <c r="C18" s="461" t="s">
        <v>226</v>
      </c>
      <c r="D18" s="463">
        <f>('[1]Данные по городу'!$F$36/1000)-('[1]Параметры бюджета'!$C$39/1000)</f>
        <v>592.64</v>
      </c>
      <c r="E18" s="463">
        <f>('[1]Данные по городу'!$G$36/1000)-('[1]Параметры бюджета'!$D$39/1000)</f>
        <v>97.883</v>
      </c>
      <c r="F18" s="463">
        <v>0</v>
      </c>
      <c r="G18" s="463" t="e">
        <f>#REF!+#REF!+#REF!-#REF!-#REF!-#REF!</f>
        <v>#REF!</v>
      </c>
      <c r="H18" s="463" t="e">
        <f>#REF!+#REF!+#REF!-#REF!-#REF!-#REF!</f>
        <v>#REF!</v>
      </c>
      <c r="I18" s="468" t="e">
        <f>#REF!+#REF!+#REF!-#REF!-#REF!-#REF!</f>
        <v>#REF!</v>
      </c>
      <c r="J18" s="468" t="e">
        <f>#REF!+#REF!+#REF!-#REF!-#REF!-#REF!</f>
        <v>#REF!</v>
      </c>
      <c r="K18" s="468" t="e">
        <f>#REF!+#REF!+#REF!-#REF!-#REF!-#REF!</f>
        <v>#REF!</v>
      </c>
      <c r="L18" s="468">
        <v>500</v>
      </c>
      <c r="M18" s="468">
        <v>150</v>
      </c>
    </row>
    <row r="19" spans="1:13" ht="35.25" customHeight="1">
      <c r="A19" s="459">
        <v>15</v>
      </c>
      <c r="B19" s="460" t="s">
        <v>257</v>
      </c>
      <c r="C19" s="461" t="s">
        <v>226</v>
      </c>
      <c r="D19" s="463">
        <f>('[1]Параметры бюджета'!$C$8+'[1]Параметры бюджета'!$C$23)/'[1]Параметры бюджета'!$C$7*100</f>
        <v>53.2159247002997</v>
      </c>
      <c r="E19" s="463">
        <f>100-ИНДИКАТОРЫ!L26</f>
        <v>37.38214155945732</v>
      </c>
      <c r="F19" s="463">
        <f>100-ИНДИКАТОРЫ!M26</f>
        <v>18.182950530762838</v>
      </c>
      <c r="G19" s="463">
        <f>100-ИНДИКАТОРЫ!F27</f>
        <v>33.452830528272244</v>
      </c>
      <c r="H19" s="463" t="e">
        <f>100-ИНДИКАТОРЫ!G27</f>
        <v>#REF!</v>
      </c>
      <c r="I19" s="463" t="e">
        <f>100-ИНДИКАТОРЫ!H27</f>
        <v>#REF!</v>
      </c>
      <c r="J19" s="463" t="e">
        <f>100-ИНДИКАТОРЫ!I27</f>
        <v>#REF!</v>
      </c>
      <c r="K19" s="463" t="e">
        <f>100-ИНДИКАТОРЫ!J27</f>
        <v>#REF!</v>
      </c>
      <c r="L19" s="468">
        <v>39</v>
      </c>
      <c r="M19" s="468">
        <v>18</v>
      </c>
    </row>
  </sheetData>
  <sheetProtection/>
  <mergeCells count="6">
    <mergeCell ref="A2:M2"/>
    <mergeCell ref="G4:M4"/>
    <mergeCell ref="A4:A5"/>
    <mergeCell ref="B4:B5"/>
    <mergeCell ref="C4:C5"/>
    <mergeCell ref="D4:F4"/>
  </mergeCells>
  <printOptions/>
  <pageMargins left="0.3937007874015748" right="0" top="0.17" bottom="0.19" header="0.21" footer="0.19"/>
  <pageSetup horizontalDpi="600" verticalDpi="6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</sheetPr>
  <dimension ref="A1:N27"/>
  <sheetViews>
    <sheetView zoomScale="60" zoomScaleNormal="60" zoomScalePageLayoutView="0" workbookViewId="0" topLeftCell="A1">
      <pane ySplit="2" topLeftCell="A3" activePane="bottomLeft" state="frozen"/>
      <selection pane="topLeft" activeCell="A192" sqref="A192:T192"/>
      <selection pane="bottomLeft" activeCell="A192" sqref="A192:T192"/>
    </sheetView>
  </sheetViews>
  <sheetFormatPr defaultColWidth="9.00390625" defaultRowHeight="12.75"/>
  <cols>
    <col min="1" max="1" width="57.875" style="475" customWidth="1"/>
    <col min="2" max="2" width="11.875" style="165" customWidth="1"/>
    <col min="3" max="3" width="9.625" style="165" customWidth="1"/>
    <col min="4" max="5" width="9.125" style="165" customWidth="1"/>
    <col min="6" max="6" width="9.25390625" style="165" customWidth="1"/>
    <col min="7" max="7" width="7.875" style="165" customWidth="1"/>
    <col min="8" max="8" width="9.25390625" style="165" customWidth="1"/>
    <col min="9" max="9" width="9.75390625" style="165" customWidth="1"/>
    <col min="10" max="10" width="9.25390625" style="165" customWidth="1"/>
    <col min="11" max="11" width="9.125" style="165" customWidth="1"/>
    <col min="12" max="12" width="9.00390625" style="165" customWidth="1"/>
    <col min="13" max="13" width="10.75390625" style="165" customWidth="1"/>
    <col min="14" max="16384" width="9.125" style="165" customWidth="1"/>
  </cols>
  <sheetData>
    <row r="1" spans="1:13" ht="39.75" customHeight="1">
      <c r="A1" s="1018" t="s">
        <v>237</v>
      </c>
      <c r="B1" s="1018"/>
      <c r="C1" s="1018"/>
      <c r="D1" s="1018"/>
      <c r="E1" s="1018"/>
      <c r="F1" s="1018"/>
      <c r="G1" s="1018"/>
      <c r="H1" s="1018"/>
      <c r="I1" s="1018"/>
      <c r="J1" s="1018"/>
      <c r="K1" s="1018"/>
      <c r="L1" s="1018"/>
      <c r="M1" s="1018"/>
    </row>
    <row r="2" spans="1:14" ht="17.25" customHeight="1">
      <c r="A2" s="479" t="s">
        <v>234</v>
      </c>
      <c r="B2" s="479" t="s">
        <v>723</v>
      </c>
      <c r="C2" s="482">
        <v>2010</v>
      </c>
      <c r="D2" s="482">
        <v>2011</v>
      </c>
      <c r="E2" s="482">
        <v>2012</v>
      </c>
      <c r="F2" s="482">
        <v>2013</v>
      </c>
      <c r="G2" s="482">
        <v>2014</v>
      </c>
      <c r="H2" s="482">
        <v>2015</v>
      </c>
      <c r="I2" s="482">
        <v>2016</v>
      </c>
      <c r="J2" s="482">
        <v>2017</v>
      </c>
      <c r="K2" s="482">
        <v>2018</v>
      </c>
      <c r="L2" s="482">
        <v>2019</v>
      </c>
      <c r="M2" s="482">
        <v>2020</v>
      </c>
      <c r="N2" s="469"/>
    </row>
    <row r="3" spans="1:13" ht="18" customHeight="1">
      <c r="A3" s="1019" t="s">
        <v>244</v>
      </c>
      <c r="B3" s="1019"/>
      <c r="C3" s="1019"/>
      <c r="D3" s="1019"/>
      <c r="E3" s="1019"/>
      <c r="F3" s="1019"/>
      <c r="G3" s="1019"/>
      <c r="H3" s="1019"/>
      <c r="I3" s="1019"/>
      <c r="J3" s="1019"/>
      <c r="K3" s="1019"/>
      <c r="L3" s="1019"/>
      <c r="M3" s="1019"/>
    </row>
    <row r="4" spans="1:13" ht="20.25" customHeight="1">
      <c r="A4" s="472" t="s">
        <v>235</v>
      </c>
      <c r="B4" s="473" t="s">
        <v>47</v>
      </c>
      <c r="C4" s="470" t="e">
        <f>'Баланс ТР '!G8</f>
        <v>#REF!</v>
      </c>
      <c r="D4" s="470" t="e">
        <f>'Баланс ТР '!H8</f>
        <v>#REF!</v>
      </c>
      <c r="E4" s="470" t="e">
        <f>'Баланс ТР '!I8</f>
        <v>#REF!</v>
      </c>
      <c r="F4" s="470" t="e">
        <f>'Баланс ТР '!J8</f>
        <v>#REF!</v>
      </c>
      <c r="G4" s="470" t="e">
        <f>'Баланс ТР '!K8</f>
        <v>#REF!</v>
      </c>
      <c r="H4" s="470" t="e">
        <f>G4*0.98+(H5-G5)</f>
        <v>#REF!</v>
      </c>
      <c r="I4" s="470" t="e">
        <f>H4*0.99+(I5-H5)</f>
        <v>#REF!</v>
      </c>
      <c r="J4" s="470" t="e">
        <f>I4*0.99+(J5-I5)</f>
        <v>#REF!</v>
      </c>
      <c r="K4" s="470" t="e">
        <f>J4*0.99+(K5-J5)</f>
        <v>#REF!</v>
      </c>
      <c r="L4" s="470" t="e">
        <f>K4*0.99+(L5-K5)</f>
        <v>#REF!</v>
      </c>
      <c r="M4" s="470" t="e">
        <f>L4*0.99+(M5-L5)</f>
        <v>#REF!</v>
      </c>
    </row>
    <row r="5" spans="1:13" ht="40.5" customHeight="1">
      <c r="A5" s="472" t="s">
        <v>253</v>
      </c>
      <c r="B5" s="473" t="s">
        <v>47</v>
      </c>
      <c r="C5" s="97" t="e">
        <f>'Цел пок вар 1'!G10</f>
        <v>#REF!</v>
      </c>
      <c r="D5" s="97" t="e">
        <f>'Цел пок вар 1'!H10</f>
        <v>#REF!</v>
      </c>
      <c r="E5" s="97" t="e">
        <f>'Цел пок вар 1'!I10</f>
        <v>#REF!</v>
      </c>
      <c r="F5" s="97" t="e">
        <f>'Цел пок вар 1'!J10</f>
        <v>#REF!</v>
      </c>
      <c r="G5" s="97" t="e">
        <f>'Цел пок вар 1'!K10</f>
        <v>#REF!</v>
      </c>
      <c r="H5" s="97" t="e">
        <f>'Цел пок вар 1'!L10</f>
        <v>#REF!</v>
      </c>
      <c r="I5" s="97" t="e">
        <f>H5+195</f>
        <v>#REF!</v>
      </c>
      <c r="J5" s="97" t="e">
        <f>I5+195</f>
        <v>#REF!</v>
      </c>
      <c r="K5" s="97" t="e">
        <f>J5+195</f>
        <v>#REF!</v>
      </c>
      <c r="L5" s="97" t="e">
        <f>K5+195</f>
        <v>#REF!</v>
      </c>
      <c r="M5" s="97" t="e">
        <f>'Цел пок вар 1'!M10</f>
        <v>#REF!</v>
      </c>
    </row>
    <row r="6" spans="1:13" ht="32.25" customHeight="1">
      <c r="A6" s="472" t="s">
        <v>225</v>
      </c>
      <c r="B6" s="473" t="s">
        <v>236</v>
      </c>
      <c r="C6" s="97">
        <f>'Цел пок вар 1'!G11</f>
        <v>17978.4</v>
      </c>
      <c r="D6" s="97">
        <f>'Цел пок вар 1'!H11</f>
        <v>19776.24</v>
      </c>
      <c r="E6" s="97">
        <f>'Цел пок вар 1'!I11</f>
        <v>21852.7452</v>
      </c>
      <c r="F6" s="97">
        <f>'Цел пок вар 1'!J11</f>
        <v>24256.547172000002</v>
      </c>
      <c r="G6" s="97">
        <f>'Цел пок вар 1'!K11</f>
        <v>27167.332832640004</v>
      </c>
      <c r="H6" s="97">
        <f>'Цел пок вар 1'!L11</f>
        <v>29340.719459251206</v>
      </c>
      <c r="I6" s="97">
        <f>H6*1.05</f>
        <v>30807.75543221377</v>
      </c>
      <c r="J6" s="97">
        <f>I6*1.04</f>
        <v>32040.06564950232</v>
      </c>
      <c r="K6" s="97">
        <f>J6*1.03</f>
        <v>33001.26761898739</v>
      </c>
      <c r="L6" s="97">
        <f>K6*1.03</f>
        <v>33991.30564755701</v>
      </c>
      <c r="M6" s="97">
        <f>'Цел пок вар 1'!M11</f>
        <v>34334.518830794485</v>
      </c>
    </row>
    <row r="7" spans="1:13" ht="24" customHeight="1">
      <c r="A7" s="472" t="s">
        <v>241</v>
      </c>
      <c r="B7" s="473" t="s">
        <v>226</v>
      </c>
      <c r="C7" s="97" t="e">
        <f>C6*C5*12/1000000</f>
        <v>#REF!</v>
      </c>
      <c r="D7" s="97" t="e">
        <f aca="true" t="shared" si="0" ref="D7:M7">D6*(D5-C5)*12/1000000</f>
        <v>#REF!</v>
      </c>
      <c r="E7" s="97" t="e">
        <f t="shared" si="0"/>
        <v>#REF!</v>
      </c>
      <c r="F7" s="97" t="e">
        <f t="shared" si="0"/>
        <v>#REF!</v>
      </c>
      <c r="G7" s="97" t="e">
        <f t="shared" si="0"/>
        <v>#REF!</v>
      </c>
      <c r="H7" s="97" t="e">
        <f t="shared" si="0"/>
        <v>#REF!</v>
      </c>
      <c r="I7" s="97" t="e">
        <f t="shared" si="0"/>
        <v>#REF!</v>
      </c>
      <c r="J7" s="97" t="e">
        <f t="shared" si="0"/>
        <v>#REF!</v>
      </c>
      <c r="K7" s="97" t="e">
        <f t="shared" si="0"/>
        <v>#REF!</v>
      </c>
      <c r="L7" s="97" t="e">
        <f t="shared" si="0"/>
        <v>#REF!</v>
      </c>
      <c r="M7" s="97" t="e">
        <f t="shared" si="0"/>
        <v>#REF!</v>
      </c>
    </row>
    <row r="8" spans="1:13" ht="30" customHeight="1">
      <c r="A8" s="472" t="s">
        <v>242</v>
      </c>
      <c r="B8" s="473" t="s">
        <v>226</v>
      </c>
      <c r="C8" s="97" t="e">
        <f>(C4-C5)*4900*12/1000000</f>
        <v>#REF!</v>
      </c>
      <c r="D8" s="97" t="e">
        <f>(D4-D5)*4900*12/1000000</f>
        <v>#REF!</v>
      </c>
      <c r="E8" s="97" t="e">
        <f aca="true" t="shared" si="1" ref="E8:M8">(E4-E5)*4900*12/1000000</f>
        <v>#REF!</v>
      </c>
      <c r="F8" s="97" t="e">
        <f t="shared" si="1"/>
        <v>#REF!</v>
      </c>
      <c r="G8" s="97" t="e">
        <f t="shared" si="1"/>
        <v>#REF!</v>
      </c>
      <c r="H8" s="97" t="e">
        <f t="shared" si="1"/>
        <v>#REF!</v>
      </c>
      <c r="I8" s="97" t="e">
        <f t="shared" si="1"/>
        <v>#REF!</v>
      </c>
      <c r="J8" s="97" t="e">
        <f t="shared" si="1"/>
        <v>#REF!</v>
      </c>
      <c r="K8" s="97" t="e">
        <f t="shared" si="1"/>
        <v>#REF!</v>
      </c>
      <c r="L8" s="97" t="e">
        <f t="shared" si="1"/>
        <v>#REF!</v>
      </c>
      <c r="M8" s="97" t="e">
        <f t="shared" si="1"/>
        <v>#REF!</v>
      </c>
    </row>
    <row r="9" spans="1:13" ht="20.25" customHeight="1">
      <c r="A9" s="474" t="s">
        <v>243</v>
      </c>
      <c r="B9" s="473" t="s">
        <v>226</v>
      </c>
      <c r="C9" s="92" t="e">
        <f>C8+C7</f>
        <v>#REF!</v>
      </c>
      <c r="D9" s="92" t="e">
        <f>D8+D7+C7</f>
        <v>#REF!</v>
      </c>
      <c r="E9" s="92" t="e">
        <f>E8+E7+D7+C7</f>
        <v>#REF!</v>
      </c>
      <c r="F9" s="92" t="e">
        <f>F8+F7+E7+D7+C7</f>
        <v>#REF!</v>
      </c>
      <c r="G9" s="92" t="e">
        <f>G8+G7+F7+E7+D7+C7</f>
        <v>#REF!</v>
      </c>
      <c r="H9" s="92" t="e">
        <f>H8+H7+G7+F7+E7+D7+C7</f>
        <v>#REF!</v>
      </c>
      <c r="I9" s="92" t="e">
        <f>I8+I7+H7+G7+F7+E7+D7+C7</f>
        <v>#REF!</v>
      </c>
      <c r="J9" s="92" t="e">
        <f>J8+J7+I7+H7+G7+F7+E7+D7+C7</f>
        <v>#REF!</v>
      </c>
      <c r="K9" s="92" t="e">
        <f>K8+K7+J7+I7+H7+G7+F7+E7+D7+C7</f>
        <v>#REF!</v>
      </c>
      <c r="L9" s="92" t="e">
        <f>L8+L7+K7+J7+I7+H7+G7+F7+E7+D7+C7</f>
        <v>#REF!</v>
      </c>
      <c r="M9" s="92" t="e">
        <f>M8+M7+L7+K7+J7+I7+H7+G7+F7+E7+D7+C7</f>
        <v>#REF!</v>
      </c>
    </row>
    <row r="10" spans="1:13" ht="14.25" customHeight="1">
      <c r="A10" s="1019" t="s">
        <v>246</v>
      </c>
      <c r="B10" s="1019"/>
      <c r="C10" s="1019"/>
      <c r="D10" s="1019"/>
      <c r="E10" s="1019"/>
      <c r="F10" s="1019"/>
      <c r="G10" s="1019"/>
      <c r="H10" s="1019"/>
      <c r="I10" s="1019"/>
      <c r="J10" s="1019"/>
      <c r="K10" s="1019"/>
      <c r="L10" s="1019"/>
      <c r="M10" s="1019"/>
    </row>
    <row r="11" spans="1:13" ht="21" customHeight="1">
      <c r="A11" s="472" t="s">
        <v>245</v>
      </c>
      <c r="B11" s="473" t="s">
        <v>226</v>
      </c>
      <c r="C11" s="97" t="e">
        <f>#REF!</f>
        <v>#REF!</v>
      </c>
      <c r="D11" s="97" t="e">
        <f>#REF!</f>
        <v>#REF!</v>
      </c>
      <c r="E11" s="97" t="e">
        <f>#REF!</f>
        <v>#REF!</v>
      </c>
      <c r="F11" s="97" t="e">
        <f>#REF!</f>
        <v>#REF!</v>
      </c>
      <c r="G11" s="97" t="e">
        <f>#REF!</f>
        <v>#REF!</v>
      </c>
      <c r="H11" s="97">
        <v>30</v>
      </c>
      <c r="I11" s="97">
        <v>30</v>
      </c>
      <c r="J11" s="97">
        <v>30</v>
      </c>
      <c r="K11" s="97">
        <v>30</v>
      </c>
      <c r="L11" s="97">
        <v>30</v>
      </c>
      <c r="M11" s="97">
        <v>30</v>
      </c>
    </row>
    <row r="12" spans="1:13" ht="16.5" customHeight="1">
      <c r="A12" s="472" t="s">
        <v>240</v>
      </c>
      <c r="B12" s="473" t="s">
        <v>226</v>
      </c>
      <c r="C12" s="97" t="e">
        <f>#REF!</f>
        <v>#REF!</v>
      </c>
      <c r="D12" s="97" t="e">
        <f>#REF!</f>
        <v>#REF!</v>
      </c>
      <c r="E12" s="97" t="e">
        <f>#REF!</f>
        <v>#REF!</v>
      </c>
      <c r="F12" s="97" t="e">
        <f>#REF!</f>
        <v>#REF!</v>
      </c>
      <c r="G12" s="97" t="e">
        <f>#REF!</f>
        <v>#REF!</v>
      </c>
      <c r="H12" s="97" t="e">
        <f aca="true" t="shared" si="2" ref="H12:M12">G12*1.05</f>
        <v>#REF!</v>
      </c>
      <c r="I12" s="97" t="e">
        <f t="shared" si="2"/>
        <v>#REF!</v>
      </c>
      <c r="J12" s="97" t="e">
        <f t="shared" si="2"/>
        <v>#REF!</v>
      </c>
      <c r="K12" s="97" t="e">
        <f t="shared" si="2"/>
        <v>#REF!</v>
      </c>
      <c r="L12" s="97" t="e">
        <f t="shared" si="2"/>
        <v>#REF!</v>
      </c>
      <c r="M12" s="97" t="e">
        <f t="shared" si="2"/>
        <v>#REF!</v>
      </c>
    </row>
    <row r="13" spans="1:13" ht="18.75" customHeight="1">
      <c r="A13" s="472" t="s">
        <v>247</v>
      </c>
      <c r="B13" s="473" t="s">
        <v>226</v>
      </c>
      <c r="C13" s="97" t="e">
        <f>C12-C11</f>
        <v>#REF!</v>
      </c>
      <c r="D13" s="97" t="e">
        <f>D12-D11</f>
        <v>#REF!</v>
      </c>
      <c r="E13" s="97" t="e">
        <f>E12-E11</f>
        <v>#REF!</v>
      </c>
      <c r="F13" s="97" t="e">
        <f>F12-F11</f>
        <v>#REF!</v>
      </c>
      <c r="G13" s="97" t="e">
        <f>G12-G11</f>
        <v>#REF!</v>
      </c>
      <c r="H13" s="97" t="e">
        <f aca="true" t="shared" si="3" ref="H13:M13">H12-H11</f>
        <v>#REF!</v>
      </c>
      <c r="I13" s="97" t="e">
        <f t="shared" si="3"/>
        <v>#REF!</v>
      </c>
      <c r="J13" s="97" t="e">
        <f t="shared" si="3"/>
        <v>#REF!</v>
      </c>
      <c r="K13" s="97" t="e">
        <f t="shared" si="3"/>
        <v>#REF!</v>
      </c>
      <c r="L13" s="97" t="e">
        <f t="shared" si="3"/>
        <v>#REF!</v>
      </c>
      <c r="M13" s="97" t="e">
        <f t="shared" si="3"/>
        <v>#REF!</v>
      </c>
    </row>
    <row r="14" spans="1:13" s="476" customFormat="1" ht="19.5" customHeight="1">
      <c r="A14" s="474" t="s">
        <v>248</v>
      </c>
      <c r="B14" s="471" t="s">
        <v>226</v>
      </c>
      <c r="C14" s="92" t="e">
        <f>C13</f>
        <v>#REF!</v>
      </c>
      <c r="D14" s="92" t="e">
        <f>C13+D13</f>
        <v>#REF!</v>
      </c>
      <c r="E14" s="92" t="e">
        <f>D13+E13+C13</f>
        <v>#REF!</v>
      </c>
      <c r="F14" s="92" t="e">
        <f>E13+F13+D13+C13</f>
        <v>#REF!</v>
      </c>
      <c r="G14" s="92" t="e">
        <f>F13+G13+E13+D13+C13</f>
        <v>#REF!</v>
      </c>
      <c r="H14" s="92" t="e">
        <f>G13+H13+F13+E13+D13+C13</f>
        <v>#REF!</v>
      </c>
      <c r="I14" s="92" t="e">
        <f>H13+I13+G13+F13+E13+D13+C13</f>
        <v>#REF!</v>
      </c>
      <c r="J14" s="92" t="e">
        <f>I13+J13+H13+G13+F13+E13+D13+C13</f>
        <v>#REF!</v>
      </c>
      <c r="K14" s="92" t="e">
        <f>J13+K13+I13+H13+G13+F13+E13+D13+C13</f>
        <v>#REF!</v>
      </c>
      <c r="L14" s="92" t="e">
        <f>K13+L13+J13+I13+H13+G13+F13+E13+D13+C13</f>
        <v>#REF!</v>
      </c>
      <c r="M14" s="92" t="e">
        <f>L13+M13+K13+J13+I13+H13+G13+F13+E13+D13+C13</f>
        <v>#REF!</v>
      </c>
    </row>
    <row r="15" spans="1:13" ht="15.75" customHeight="1">
      <c r="A15" s="1019" t="s">
        <v>251</v>
      </c>
      <c r="B15" s="1019"/>
      <c r="C15" s="1019"/>
      <c r="D15" s="1019"/>
      <c r="E15" s="1019"/>
      <c r="F15" s="1019"/>
      <c r="G15" s="1019"/>
      <c r="H15" s="1019"/>
      <c r="I15" s="1019"/>
      <c r="J15" s="1019"/>
      <c r="K15" s="1019"/>
      <c r="L15" s="1019"/>
      <c r="M15" s="1019"/>
    </row>
    <row r="16" spans="1:13" ht="19.5" customHeight="1">
      <c r="A16" s="472" t="s">
        <v>245</v>
      </c>
      <c r="B16" s="473" t="s">
        <v>226</v>
      </c>
      <c r="C16" s="97" t="e">
        <f>#REF!</f>
        <v>#REF!</v>
      </c>
      <c r="D16" s="97" t="e">
        <f>#REF!</f>
        <v>#REF!</v>
      </c>
      <c r="E16" s="97" t="e">
        <f>#REF!</f>
        <v>#REF!</v>
      </c>
      <c r="F16" s="97" t="e">
        <f>#REF!</f>
        <v>#REF!</v>
      </c>
      <c r="G16" s="97" t="e">
        <f>#REF!</f>
        <v>#REF!</v>
      </c>
      <c r="H16" s="97">
        <v>10</v>
      </c>
      <c r="I16" s="97">
        <f>H16*1.05</f>
        <v>10.5</v>
      </c>
      <c r="J16" s="97">
        <f>I16*1.05</f>
        <v>11.025</v>
      </c>
      <c r="K16" s="97">
        <f>J16*1.05</f>
        <v>11.576250000000002</v>
      </c>
      <c r="L16" s="97">
        <f>K16*1.05</f>
        <v>12.155062500000001</v>
      </c>
      <c r="M16" s="97">
        <f>L16*1.05</f>
        <v>12.762815625000002</v>
      </c>
    </row>
    <row r="17" spans="1:13" ht="19.5" customHeight="1">
      <c r="A17" s="472" t="s">
        <v>240</v>
      </c>
      <c r="B17" s="473" t="s">
        <v>226</v>
      </c>
      <c r="C17" s="97" t="e">
        <f>#REF!</f>
        <v>#REF!</v>
      </c>
      <c r="D17" s="97" t="e">
        <f>#REF!</f>
        <v>#REF!</v>
      </c>
      <c r="E17" s="97" t="e">
        <f>#REF!</f>
        <v>#REF!</v>
      </c>
      <c r="F17" s="97" t="e">
        <f>#REF!</f>
        <v>#REF!</v>
      </c>
      <c r="G17" s="97" t="e">
        <f>#REF!</f>
        <v>#REF!</v>
      </c>
      <c r="H17" s="97" t="e">
        <f aca="true" t="shared" si="4" ref="H17:M17">G17*1.03</f>
        <v>#REF!</v>
      </c>
      <c r="I17" s="97" t="e">
        <f t="shared" si="4"/>
        <v>#REF!</v>
      </c>
      <c r="J17" s="97" t="e">
        <f t="shared" si="4"/>
        <v>#REF!</v>
      </c>
      <c r="K17" s="97" t="e">
        <f t="shared" si="4"/>
        <v>#REF!</v>
      </c>
      <c r="L17" s="97" t="e">
        <f t="shared" si="4"/>
        <v>#REF!</v>
      </c>
      <c r="M17" s="97" t="e">
        <f t="shared" si="4"/>
        <v>#REF!</v>
      </c>
    </row>
    <row r="18" spans="1:13" ht="19.5" customHeight="1">
      <c r="A18" s="472" t="s">
        <v>249</v>
      </c>
      <c r="B18" s="473" t="s">
        <v>226</v>
      </c>
      <c r="C18" s="97" t="e">
        <f>C17-C16</f>
        <v>#REF!</v>
      </c>
      <c r="D18" s="97" t="e">
        <f>D17-D16</f>
        <v>#REF!</v>
      </c>
      <c r="E18" s="97" t="e">
        <f>E17-E16</f>
        <v>#REF!</v>
      </c>
      <c r="F18" s="97" t="e">
        <f>F17-F16</f>
        <v>#REF!</v>
      </c>
      <c r="G18" s="97" t="e">
        <f>G17-G16</f>
        <v>#REF!</v>
      </c>
      <c r="H18" s="97" t="e">
        <f aca="true" t="shared" si="5" ref="H18:M18">H17-H16</f>
        <v>#REF!</v>
      </c>
      <c r="I18" s="97" t="e">
        <f t="shared" si="5"/>
        <v>#REF!</v>
      </c>
      <c r="J18" s="97" t="e">
        <f t="shared" si="5"/>
        <v>#REF!</v>
      </c>
      <c r="K18" s="97" t="e">
        <f t="shared" si="5"/>
        <v>#REF!</v>
      </c>
      <c r="L18" s="97" t="e">
        <f t="shared" si="5"/>
        <v>#REF!</v>
      </c>
      <c r="M18" s="97" t="e">
        <f t="shared" si="5"/>
        <v>#REF!</v>
      </c>
    </row>
    <row r="19" spans="1:13" ht="22.5" customHeight="1">
      <c r="A19" s="474" t="s">
        <v>250</v>
      </c>
      <c r="B19" s="471" t="s">
        <v>226</v>
      </c>
      <c r="C19" s="92" t="e">
        <f>C18</f>
        <v>#REF!</v>
      </c>
      <c r="D19" s="92" t="e">
        <f>C18+D18</f>
        <v>#REF!</v>
      </c>
      <c r="E19" s="92" t="e">
        <f>D18+E18+C18</f>
        <v>#REF!</v>
      </c>
      <c r="F19" s="92" t="e">
        <f>E18+F18+D18+C18</f>
        <v>#REF!</v>
      </c>
      <c r="G19" s="92" t="e">
        <f>F18+G18+E18+D18+C18</f>
        <v>#REF!</v>
      </c>
      <c r="H19" s="92" t="e">
        <f>G18+H18+F18+E18+D18+C18</f>
        <v>#REF!</v>
      </c>
      <c r="I19" s="92" t="e">
        <f>H18+I18+G18+F18+E18+D18+C18</f>
        <v>#REF!</v>
      </c>
      <c r="J19" s="92" t="e">
        <f>I18+J18+H18+G18+F18+E18+D18+C18</f>
        <v>#REF!</v>
      </c>
      <c r="K19" s="92" t="e">
        <f>J18+K18+I18+H18+G18+F18+E18+D18+C18</f>
        <v>#REF!</v>
      </c>
      <c r="L19" s="92" t="e">
        <f>K18+L18+J18+I18+H18+G18+F18+E18+D18+C18</f>
        <v>#REF!</v>
      </c>
      <c r="M19" s="92" t="e">
        <f>L18+M18+K18+J18+I18+H18+G18+F18+E18+D18+C18</f>
        <v>#REF!</v>
      </c>
    </row>
    <row r="20" spans="1:13" ht="14.25" customHeight="1">
      <c r="A20" s="1019" t="s">
        <v>252</v>
      </c>
      <c r="B20" s="1019"/>
      <c r="C20" s="1019"/>
      <c r="D20" s="1019"/>
      <c r="E20" s="1019"/>
      <c r="F20" s="1019"/>
      <c r="G20" s="1019"/>
      <c r="H20" s="1019"/>
      <c r="I20" s="1019"/>
      <c r="J20" s="1019"/>
      <c r="K20" s="1019"/>
      <c r="L20" s="1019"/>
      <c r="M20" s="1019"/>
    </row>
    <row r="21" spans="1:13" ht="24" customHeight="1">
      <c r="A21" s="472" t="s">
        <v>245</v>
      </c>
      <c r="B21" s="473" t="s">
        <v>226</v>
      </c>
      <c r="C21" s="97" t="e">
        <f>#REF!</f>
        <v>#REF!</v>
      </c>
      <c r="D21" s="97" t="e">
        <f>#REF!</f>
        <v>#REF!</v>
      </c>
      <c r="E21" s="97" t="e">
        <f>#REF!</f>
        <v>#REF!</v>
      </c>
      <c r="F21" s="97" t="e">
        <f>#REF!</f>
        <v>#REF!</v>
      </c>
      <c r="G21" s="97" t="e">
        <f>#REF!</f>
        <v>#REF!</v>
      </c>
      <c r="H21" s="470">
        <f>10.5+500</f>
        <v>510.5</v>
      </c>
      <c r="I21" s="470">
        <f>500+10.5*1.05</f>
        <v>511.025</v>
      </c>
      <c r="J21" s="470">
        <f>10.5*1.05*1.05+500</f>
        <v>511.57625</v>
      </c>
      <c r="K21" s="470">
        <f>500+10.5*1.05*1.05*1.05</f>
        <v>512.1550625</v>
      </c>
      <c r="L21" s="470">
        <v>11</v>
      </c>
      <c r="M21" s="470">
        <f>L21*1.05</f>
        <v>11.55</v>
      </c>
    </row>
    <row r="22" spans="1:13" ht="19.5" customHeight="1">
      <c r="A22" s="472" t="s">
        <v>240</v>
      </c>
      <c r="B22" s="473" t="s">
        <v>226</v>
      </c>
      <c r="C22" s="97" t="e">
        <f>#REF!</f>
        <v>#REF!</v>
      </c>
      <c r="D22" s="97" t="e">
        <f>#REF!</f>
        <v>#REF!</v>
      </c>
      <c r="E22" s="97" t="e">
        <f>#REF!</f>
        <v>#REF!</v>
      </c>
      <c r="F22" s="97" t="e">
        <f>#REF!</f>
        <v>#REF!</v>
      </c>
      <c r="G22" s="97" t="e">
        <f>#REF!</f>
        <v>#REF!</v>
      </c>
      <c r="H22" s="97" t="e">
        <f aca="true" t="shared" si="6" ref="H22:M22">G22*1.03</f>
        <v>#REF!</v>
      </c>
      <c r="I22" s="97" t="e">
        <f t="shared" si="6"/>
        <v>#REF!</v>
      </c>
      <c r="J22" s="97" t="e">
        <f t="shared" si="6"/>
        <v>#REF!</v>
      </c>
      <c r="K22" s="97" t="e">
        <f t="shared" si="6"/>
        <v>#REF!</v>
      </c>
      <c r="L22" s="97" t="e">
        <f t="shared" si="6"/>
        <v>#REF!</v>
      </c>
      <c r="M22" s="97" t="e">
        <f t="shared" si="6"/>
        <v>#REF!</v>
      </c>
    </row>
    <row r="23" spans="1:13" ht="18" customHeight="1">
      <c r="A23" s="472" t="s">
        <v>238</v>
      </c>
      <c r="B23" s="473" t="s">
        <v>226</v>
      </c>
      <c r="C23" s="97" t="e">
        <f>C22-C21</f>
        <v>#REF!</v>
      </c>
      <c r="D23" s="97" t="e">
        <f>D22-D21</f>
        <v>#REF!</v>
      </c>
      <c r="E23" s="97" t="e">
        <f>E22-E21</f>
        <v>#REF!</v>
      </c>
      <c r="F23" s="97" t="e">
        <f>F22-F21</f>
        <v>#REF!</v>
      </c>
      <c r="G23" s="97" t="e">
        <f>G22-G21</f>
        <v>#REF!</v>
      </c>
      <c r="H23" s="97" t="e">
        <f aca="true" t="shared" si="7" ref="H23:M23">H22-H21</f>
        <v>#REF!</v>
      </c>
      <c r="I23" s="97" t="e">
        <f t="shared" si="7"/>
        <v>#REF!</v>
      </c>
      <c r="J23" s="97" t="e">
        <f t="shared" si="7"/>
        <v>#REF!</v>
      </c>
      <c r="K23" s="97" t="e">
        <f t="shared" si="7"/>
        <v>#REF!</v>
      </c>
      <c r="L23" s="97" t="e">
        <f t="shared" si="7"/>
        <v>#REF!</v>
      </c>
      <c r="M23" s="97" t="e">
        <f t="shared" si="7"/>
        <v>#REF!</v>
      </c>
    </row>
    <row r="24" spans="1:13" ht="23.25" customHeight="1">
      <c r="A24" s="474" t="s">
        <v>239</v>
      </c>
      <c r="B24" s="471" t="s">
        <v>226</v>
      </c>
      <c r="C24" s="92" t="e">
        <f>C23</f>
        <v>#REF!</v>
      </c>
      <c r="D24" s="92" t="e">
        <f>C23+D23</f>
        <v>#REF!</v>
      </c>
      <c r="E24" s="92" t="e">
        <f>D23+E23+C23</f>
        <v>#REF!</v>
      </c>
      <c r="F24" s="92" t="e">
        <f>E23+F23+D23+C23</f>
        <v>#REF!</v>
      </c>
      <c r="G24" s="92" t="e">
        <f>F23+G23+E23+D23+C23</f>
        <v>#REF!</v>
      </c>
      <c r="H24" s="92" t="e">
        <f>G23+H23+F23+E23+D23+C23</f>
        <v>#REF!</v>
      </c>
      <c r="I24" s="92" t="e">
        <f>H23+I23+G23+F23+E23+D23+C23</f>
        <v>#REF!</v>
      </c>
      <c r="J24" s="92" t="e">
        <f>I23+J23+H23+G23+F23+E23+D23+C23</f>
        <v>#REF!</v>
      </c>
      <c r="K24" s="92" t="e">
        <f>J23+K23+I23+H23+G23+F23+E23+D23+C23</f>
        <v>#REF!</v>
      </c>
      <c r="L24" s="92" t="e">
        <f>K23+L23+J23+I23+H23+G23+F23+E23+D23+C23</f>
        <v>#REF!</v>
      </c>
      <c r="M24" s="92" t="e">
        <f>L23+M23+K23+J23+I23+H23+G23+F23+E23+D23+C23</f>
        <v>#REF!</v>
      </c>
    </row>
    <row r="25" spans="1:13" s="481" customFormat="1" ht="23.25" customHeight="1">
      <c r="A25" s="478" t="s">
        <v>256</v>
      </c>
      <c r="B25" s="479" t="s">
        <v>226</v>
      </c>
      <c r="C25" s="480" t="e">
        <f>C24+C19+C14+C9</f>
        <v>#REF!</v>
      </c>
      <c r="D25" s="480" t="e">
        <f aca="true" t="shared" si="8" ref="D25:M25">D24+D19+D14+D9</f>
        <v>#REF!</v>
      </c>
      <c r="E25" s="480" t="e">
        <f t="shared" si="8"/>
        <v>#REF!</v>
      </c>
      <c r="F25" s="480" t="e">
        <f t="shared" si="8"/>
        <v>#REF!</v>
      </c>
      <c r="G25" s="480" t="e">
        <f t="shared" si="8"/>
        <v>#REF!</v>
      </c>
      <c r="H25" s="480" t="e">
        <f t="shared" si="8"/>
        <v>#REF!</v>
      </c>
      <c r="I25" s="480" t="e">
        <f t="shared" si="8"/>
        <v>#REF!</v>
      </c>
      <c r="J25" s="480" t="e">
        <f t="shared" si="8"/>
        <v>#REF!</v>
      </c>
      <c r="K25" s="480" t="e">
        <f t="shared" si="8"/>
        <v>#REF!</v>
      </c>
      <c r="L25" s="480" t="e">
        <f t="shared" si="8"/>
        <v>#REF!</v>
      </c>
      <c r="M25" s="480" t="e">
        <f t="shared" si="8"/>
        <v>#REF!</v>
      </c>
    </row>
    <row r="26" ht="12.75">
      <c r="A26" s="477" t="s">
        <v>255</v>
      </c>
    </row>
    <row r="27" spans="1:13" ht="31.5" customHeight="1">
      <c r="A27" s="1017" t="s">
        <v>254</v>
      </c>
      <c r="B27" s="1017"/>
      <c r="C27" s="1017"/>
      <c r="D27" s="1017"/>
      <c r="E27" s="1017"/>
      <c r="F27" s="1017"/>
      <c r="G27" s="1017"/>
      <c r="H27" s="1017"/>
      <c r="I27" s="1017"/>
      <c r="J27" s="1017"/>
      <c r="K27" s="1017"/>
      <c r="L27" s="1017"/>
      <c r="M27" s="1017"/>
    </row>
  </sheetData>
  <sheetProtection/>
  <mergeCells count="6">
    <mergeCell ref="A27:M27"/>
    <mergeCell ref="A1:M1"/>
    <mergeCell ref="A10:M10"/>
    <mergeCell ref="A15:M15"/>
    <mergeCell ref="A20:M20"/>
    <mergeCell ref="A3:M3"/>
  </mergeCells>
  <printOptions/>
  <pageMargins left="0.39" right="0.17" top="0.22" bottom="0.19" header="0.26" footer="0.19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Administration of Irkutsk region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Лукьяненко Александра Олеговна</cp:lastModifiedBy>
  <cp:lastPrinted>2016-02-05T06:54:08Z</cp:lastPrinted>
  <dcterms:created xsi:type="dcterms:W3CDTF">2009-08-12T01:52:27Z</dcterms:created>
  <dcterms:modified xsi:type="dcterms:W3CDTF">2016-04-18T03:10:29Z</dcterms:modified>
  <cp:category/>
  <cp:version/>
  <cp:contentType/>
  <cp:contentStatus/>
</cp:coreProperties>
</file>