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-90" yWindow="-30" windowWidth="20625" windowHeight="10245" tabRatio="859" activeTab="3"/>
  </bookViews>
  <sheets>
    <sheet name="Прогноз 2025-2027 " sheetId="1" r:id="rId1"/>
    <sheet name="Прил 1 (расчет ИФО) (2)" sheetId="9" r:id="rId2"/>
    <sheet name="Прил 2 Прогноз по поселениям" sheetId="8" r:id="rId3"/>
    <sheet name="Прил 3 Инвестпроекты" sheetId="12" r:id="rId4"/>
  </sheets>
  <externalReferences>
    <externalReference r:id="rId5"/>
    <externalReference r:id="rId6"/>
  </externalReferences>
  <definedNames>
    <definedName name="_xlnm.Print_Titles" localSheetId="2">'Прил 2 Прогноз по поселениям'!$A:$A,'Прил 2 Прогноз по поселениям'!$4:$7</definedName>
    <definedName name="_xlnm.Print_Titles" localSheetId="0">'Прогноз 2025-2027 '!$3:$5</definedName>
    <definedName name="_xlnm.Print_Area" localSheetId="1">'Прил 1 (расчет ИФО) (2)'!$A$1:$V$123</definedName>
    <definedName name="_xlnm.Print_Area" localSheetId="2">'Прил 2 Прогноз по поселениям'!$A$1:$BC$18</definedName>
    <definedName name="_xlnm.Print_Area" localSheetId="0">'Прогноз 2025-2027 '!$A$1:$I$167</definedName>
  </definedNames>
  <calcPr calcId="145621"/>
</workbook>
</file>

<file path=xl/calcChain.xml><?xml version="1.0" encoding="utf-8"?>
<calcChain xmlns="http://schemas.openxmlformats.org/spreadsheetml/2006/main">
  <c r="E164" i="1" l="1"/>
  <c r="F153" i="1" l="1"/>
  <c r="L96" i="9" l="1"/>
  <c r="H180" i="12" l="1"/>
  <c r="I180" i="12"/>
  <c r="J180" i="12"/>
  <c r="K180" i="12"/>
  <c r="L180" i="12"/>
  <c r="M180" i="12"/>
  <c r="N180" i="12"/>
  <c r="G180" i="12"/>
  <c r="J179" i="12"/>
  <c r="K179" i="12"/>
  <c r="L179" i="12"/>
  <c r="M179" i="12"/>
  <c r="N179" i="12"/>
  <c r="I179" i="12"/>
  <c r="H179" i="12"/>
  <c r="G179" i="12"/>
  <c r="G173" i="12"/>
  <c r="I174" i="12" l="1"/>
  <c r="I178" i="12"/>
  <c r="G169" i="12" l="1"/>
  <c r="N142" i="12" l="1"/>
  <c r="G142" i="12"/>
  <c r="M142" i="12" l="1"/>
  <c r="H142" i="12"/>
  <c r="D164" i="1" l="1"/>
  <c r="D155" i="1" s="1"/>
  <c r="E7" i="1" l="1"/>
  <c r="N174" i="12" l="1"/>
  <c r="M174" i="12"/>
  <c r="G174" i="12"/>
  <c r="M148" i="12"/>
  <c r="G19" i="1" l="1"/>
  <c r="F19" i="1" s="1"/>
  <c r="F7" i="1"/>
  <c r="H19" i="1" l="1"/>
  <c r="G145" i="1" l="1"/>
  <c r="E106" i="1"/>
  <c r="D104" i="1"/>
  <c r="E104" i="1" s="1"/>
  <c r="E90" i="1"/>
  <c r="H59" i="1" l="1"/>
  <c r="H60" i="1"/>
  <c r="H61" i="1"/>
  <c r="H62" i="1"/>
  <c r="H63" i="1"/>
  <c r="H64" i="1"/>
  <c r="H65" i="1"/>
  <c r="H66" i="1"/>
  <c r="H67" i="1"/>
  <c r="H68" i="1"/>
  <c r="H69" i="1"/>
  <c r="H70" i="1"/>
  <c r="E57" i="1"/>
  <c r="G57" i="1" s="1"/>
  <c r="H57" i="1" s="1"/>
  <c r="G73" i="1"/>
  <c r="G75" i="1"/>
  <c r="Q8" i="8"/>
  <c r="E122" i="1"/>
  <c r="F122" i="1" s="1"/>
  <c r="J21" i="8"/>
  <c r="J20" i="8"/>
  <c r="I27" i="8"/>
  <c r="I26" i="8"/>
  <c r="I25" i="8"/>
  <c r="I24" i="8"/>
  <c r="I23" i="8"/>
  <c r="I22" i="8"/>
  <c r="I21" i="8"/>
  <c r="I20" i="8"/>
  <c r="AW9" i="8"/>
  <c r="AW10" i="8"/>
  <c r="AW11" i="8"/>
  <c r="AW12" i="8"/>
  <c r="AW13" i="8"/>
  <c r="AW14" i="8"/>
  <c r="AW15" i="8"/>
  <c r="AW8" i="8"/>
  <c r="AS9" i="8"/>
  <c r="AS10" i="8"/>
  <c r="AS11" i="8"/>
  <c r="AS12" i="8"/>
  <c r="AS13" i="8"/>
  <c r="AS14" i="8"/>
  <c r="AS15" i="8"/>
  <c r="AS8" i="8"/>
  <c r="AJ16" i="8"/>
  <c r="G122" i="1"/>
  <c r="D148" i="1"/>
  <c r="F150" i="1"/>
  <c r="G150" i="1"/>
  <c r="H150" i="1"/>
  <c r="I150" i="1"/>
  <c r="E150" i="1"/>
  <c r="E151" i="1" l="1"/>
  <c r="K78" i="1" l="1"/>
  <c r="F78" i="1"/>
  <c r="H75" i="1"/>
  <c r="E76" i="1"/>
  <c r="F76" i="1" s="1"/>
  <c r="E52" i="1"/>
  <c r="E51" i="1" l="1"/>
  <c r="G51" i="1" s="1"/>
  <c r="H51" i="1" s="1"/>
  <c r="I51" i="1" s="1"/>
  <c r="E48" i="1"/>
  <c r="I22" i="1"/>
  <c r="H22" i="1"/>
  <c r="F51" i="1" l="1"/>
  <c r="H166" i="1" l="1"/>
  <c r="I166" i="1" s="1"/>
  <c r="D13" i="8" l="1"/>
  <c r="D11" i="8"/>
  <c r="D15" i="8"/>
  <c r="D14" i="8"/>
  <c r="D12" i="8"/>
  <c r="D10" i="8"/>
  <c r="D9" i="8"/>
  <c r="D8" i="8"/>
  <c r="G76" i="1"/>
  <c r="D7" i="1"/>
  <c r="D72" i="1" l="1"/>
  <c r="AF16" i="8"/>
  <c r="AG16" i="8"/>
  <c r="E133" i="1"/>
  <c r="F133" i="1" s="1"/>
  <c r="E132" i="1"/>
  <c r="F132" i="1" s="1"/>
  <c r="E131" i="1"/>
  <c r="F131" i="1" s="1"/>
  <c r="E130" i="1"/>
  <c r="F130" i="1" s="1"/>
  <c r="G130" i="1"/>
  <c r="H130" i="1" s="1"/>
  <c r="E129" i="1"/>
  <c r="F129" i="1" s="1"/>
  <c r="E128" i="1"/>
  <c r="F128" i="1" s="1"/>
  <c r="G128" i="1"/>
  <c r="H128" i="1" s="1"/>
  <c r="D120" i="1"/>
  <c r="I90" i="1"/>
  <c r="H90" i="1"/>
  <c r="G90" i="1"/>
  <c r="E81" i="1"/>
  <c r="I81" i="1" s="1"/>
  <c r="P11" i="8"/>
  <c r="P8" i="8"/>
  <c r="O9" i="8"/>
  <c r="O10" i="8"/>
  <c r="O11" i="8"/>
  <c r="O12" i="8"/>
  <c r="O13" i="8"/>
  <c r="O14" i="8"/>
  <c r="O15" i="8"/>
  <c r="O16" i="8"/>
  <c r="O8" i="8"/>
  <c r="N8" i="8"/>
  <c r="P9" i="8"/>
  <c r="Q9" i="8" s="1"/>
  <c r="R9" i="8" s="1"/>
  <c r="S9" i="8" s="1"/>
  <c r="J22" i="8"/>
  <c r="P10" i="8" s="1"/>
  <c r="Q10" i="8" s="1"/>
  <c r="R10" i="8" s="1"/>
  <c r="S10" i="8" s="1"/>
  <c r="J23" i="8"/>
  <c r="J24" i="8"/>
  <c r="P12" i="8" s="1"/>
  <c r="Q12" i="8" s="1"/>
  <c r="R12" i="8" s="1"/>
  <c r="S12" i="8" s="1"/>
  <c r="J25" i="8"/>
  <c r="P13" i="8" s="1"/>
  <c r="Q13" i="8" s="1"/>
  <c r="R13" i="8" s="1"/>
  <c r="S13" i="8" s="1"/>
  <c r="J26" i="8"/>
  <c r="P14" i="8" s="1"/>
  <c r="Q14" i="8" s="1"/>
  <c r="R14" i="8" s="1"/>
  <c r="S14" i="8" s="1"/>
  <c r="J27" i="8"/>
  <c r="P15" i="8" s="1"/>
  <c r="Q15" i="8" s="1"/>
  <c r="R15" i="8" s="1"/>
  <c r="S15" i="8" s="1"/>
  <c r="H21" i="8"/>
  <c r="H22" i="8"/>
  <c r="H23" i="8"/>
  <c r="H24" i="8"/>
  <c r="H25" i="8"/>
  <c r="H26" i="8"/>
  <c r="H27" i="8"/>
  <c r="H20" i="8"/>
  <c r="G20" i="8"/>
  <c r="I28" i="8"/>
  <c r="J28" i="8" s="1"/>
  <c r="P16" i="8" s="1"/>
  <c r="C20" i="8"/>
  <c r="N16" i="8"/>
  <c r="C21" i="8"/>
  <c r="G21" i="8"/>
  <c r="N9" i="8"/>
  <c r="C22" i="8"/>
  <c r="G22" i="8"/>
  <c r="N10" i="8"/>
  <c r="C23" i="8"/>
  <c r="G23" i="8"/>
  <c r="N11" i="8"/>
  <c r="C24" i="8"/>
  <c r="G24" i="8"/>
  <c r="N12" i="8"/>
  <c r="C25" i="8"/>
  <c r="G25" i="8"/>
  <c r="N13" i="8"/>
  <c r="C26" i="8"/>
  <c r="G26" i="8"/>
  <c r="N14" i="8"/>
  <c r="C27" i="8"/>
  <c r="G27" i="8"/>
  <c r="N15" i="8"/>
  <c r="F21" i="8"/>
  <c r="F20" i="8"/>
  <c r="E21" i="8"/>
  <c r="E20" i="8"/>
  <c r="D20" i="8"/>
  <c r="N28" i="8"/>
  <c r="O27" i="8"/>
  <c r="O20" i="8"/>
  <c r="O21" i="8"/>
  <c r="O22" i="8"/>
  <c r="O23" i="8"/>
  <c r="O24" i="8"/>
  <c r="O25" i="8"/>
  <c r="O26" i="8"/>
  <c r="O28" i="8"/>
  <c r="T29" i="8"/>
  <c r="S29" i="8"/>
  <c r="S21" i="8" s="1"/>
  <c r="I9" i="8" s="1"/>
  <c r="R29" i="8"/>
  <c r="R28" i="8" s="1"/>
  <c r="H16" i="8" s="1"/>
  <c r="Q28" i="8"/>
  <c r="Q22" i="8"/>
  <c r="Q23" i="8"/>
  <c r="Q24" i="8"/>
  <c r="Q25" i="8"/>
  <c r="Q26" i="8"/>
  <c r="Q27" i="8"/>
  <c r="Q21" i="8"/>
  <c r="Q20" i="8"/>
  <c r="AU9" i="8"/>
  <c r="AU8" i="8"/>
  <c r="B16" i="8"/>
  <c r="L11" i="9"/>
  <c r="M11" i="9"/>
  <c r="F76" i="9"/>
  <c r="F17" i="9"/>
  <c r="G17" i="9" s="1"/>
  <c r="F11" i="9"/>
  <c r="E127" i="1"/>
  <c r="F127" i="1" s="1"/>
  <c r="H122" i="1"/>
  <c r="I122" i="1"/>
  <c r="E9" i="1"/>
  <c r="G9" i="1" s="1"/>
  <c r="H9" i="1" s="1"/>
  <c r="E126" i="1"/>
  <c r="F126" i="1" s="1"/>
  <c r="D153" i="1"/>
  <c r="F145" i="1"/>
  <c r="E135" i="1"/>
  <c r="F135" i="1" s="1"/>
  <c r="H112" i="1"/>
  <c r="F112" i="1"/>
  <c r="F108" i="1"/>
  <c r="F109" i="1"/>
  <c r="F110" i="1"/>
  <c r="F111" i="1"/>
  <c r="F113" i="1"/>
  <c r="F114" i="1"/>
  <c r="F115" i="1"/>
  <c r="F116" i="1"/>
  <c r="F117" i="1"/>
  <c r="F107" i="1"/>
  <c r="F106" i="1"/>
  <c r="F104" i="1"/>
  <c r="F95" i="1"/>
  <c r="G95" i="1"/>
  <c r="H95" i="1"/>
  <c r="I95" i="1"/>
  <c r="E95" i="1"/>
  <c r="F94" i="1"/>
  <c r="G94" i="1"/>
  <c r="H94" i="1"/>
  <c r="I94" i="1"/>
  <c r="E94" i="1"/>
  <c r="F93" i="1"/>
  <c r="G93" i="1"/>
  <c r="H93" i="1"/>
  <c r="I93" i="1"/>
  <c r="E93" i="1"/>
  <c r="F92" i="1"/>
  <c r="G92" i="1"/>
  <c r="H92" i="1"/>
  <c r="I92" i="1"/>
  <c r="E92" i="1"/>
  <c r="F90" i="1"/>
  <c r="F81" i="1"/>
  <c r="G71" i="1"/>
  <c r="E13" i="1"/>
  <c r="G13" i="1" s="1"/>
  <c r="E14" i="1"/>
  <c r="G14" i="1" s="1"/>
  <c r="E15" i="1"/>
  <c r="G15" i="1" s="1"/>
  <c r="E16" i="1"/>
  <c r="G16" i="1" s="1"/>
  <c r="E16" i="8"/>
  <c r="E17" i="1"/>
  <c r="E18" i="1"/>
  <c r="G18" i="1" s="1"/>
  <c r="E20" i="1"/>
  <c r="G20" i="1" s="1"/>
  <c r="H107" i="1"/>
  <c r="I107" i="1" s="1"/>
  <c r="H108" i="1"/>
  <c r="I108" i="1" s="1"/>
  <c r="I112" i="1"/>
  <c r="H109" i="1"/>
  <c r="I109" i="1" s="1"/>
  <c r="H110" i="1"/>
  <c r="I110" i="1" s="1"/>
  <c r="H111" i="1"/>
  <c r="I111" i="1" s="1"/>
  <c r="H113" i="1"/>
  <c r="I113" i="1" s="1"/>
  <c r="H114" i="1"/>
  <c r="I114" i="1" s="1"/>
  <c r="H115" i="1"/>
  <c r="I115" i="1" s="1"/>
  <c r="H116" i="1"/>
  <c r="I116" i="1" s="1"/>
  <c r="H117" i="1"/>
  <c r="I117" i="1" s="1"/>
  <c r="H104" i="1"/>
  <c r="I104" i="1" s="1"/>
  <c r="H86" i="1"/>
  <c r="H87" i="1"/>
  <c r="I87" i="1" s="1"/>
  <c r="H88" i="1"/>
  <c r="I88" i="1" s="1"/>
  <c r="H89" i="1"/>
  <c r="H91" i="1"/>
  <c r="I91" i="1" s="1"/>
  <c r="H85" i="1"/>
  <c r="H78" i="1"/>
  <c r="I78" i="1" s="1"/>
  <c r="H79" i="1"/>
  <c r="H76" i="1"/>
  <c r="I76" i="1" s="1"/>
  <c r="I75" i="1"/>
  <c r="F75" i="1"/>
  <c r="H73" i="1"/>
  <c r="F57" i="1"/>
  <c r="F52" i="1"/>
  <c r="G52" i="1" s="1"/>
  <c r="H52" i="1" s="1"/>
  <c r="I52" i="1" s="1"/>
  <c r="E49" i="1"/>
  <c r="D33" i="1"/>
  <c r="D36" i="1"/>
  <c r="D39" i="1"/>
  <c r="D42" i="1"/>
  <c r="D30" i="1" s="1"/>
  <c r="D26" i="1" s="1"/>
  <c r="L17" i="9"/>
  <c r="L20" i="9" s="1"/>
  <c r="L76" i="9"/>
  <c r="L77" i="9"/>
  <c r="L81" i="9"/>
  <c r="L102" i="9"/>
  <c r="L103" i="9"/>
  <c r="L106" i="9"/>
  <c r="L107" i="9"/>
  <c r="L108" i="9"/>
  <c r="L109" i="9"/>
  <c r="L110" i="9"/>
  <c r="M17" i="9"/>
  <c r="M20" i="9" s="1"/>
  <c r="M76" i="9"/>
  <c r="M77" i="9"/>
  <c r="M81" i="9"/>
  <c r="M102" i="9"/>
  <c r="M106" i="9"/>
  <c r="R106" i="9" s="1"/>
  <c r="M107" i="9"/>
  <c r="M108" i="9"/>
  <c r="M109" i="9"/>
  <c r="D16" i="8"/>
  <c r="I73" i="1"/>
  <c r="I60" i="1"/>
  <c r="I61" i="1"/>
  <c r="I62" i="1"/>
  <c r="I63" i="1"/>
  <c r="E60" i="1"/>
  <c r="F60" i="1" s="1"/>
  <c r="E61" i="1"/>
  <c r="F61" i="1" s="1"/>
  <c r="E62" i="1"/>
  <c r="F62" i="1" s="1"/>
  <c r="E59" i="1"/>
  <c r="E96" i="1"/>
  <c r="G106" i="1"/>
  <c r="H106" i="1" s="1"/>
  <c r="C118" i="1"/>
  <c r="C21" i="1"/>
  <c r="C16" i="8"/>
  <c r="F164" i="1"/>
  <c r="G164" i="1"/>
  <c r="H164" i="1"/>
  <c r="I164" i="1"/>
  <c r="W29" i="8"/>
  <c r="G16" i="8"/>
  <c r="I7" i="1" s="1"/>
  <c r="F16" i="8"/>
  <c r="AQ16" i="8"/>
  <c r="AR16" i="8"/>
  <c r="G151" i="1"/>
  <c r="E54" i="1"/>
  <c r="F48" i="1"/>
  <c r="G48" i="1"/>
  <c r="H48" i="1" s="1"/>
  <c r="N11" i="9"/>
  <c r="S11" i="9" s="1"/>
  <c r="N17" i="9"/>
  <c r="G11" i="9"/>
  <c r="O11" i="9" s="1"/>
  <c r="E64" i="1"/>
  <c r="F64" i="1" s="1"/>
  <c r="E63" i="1"/>
  <c r="F63" i="1" s="1"/>
  <c r="M169" i="12"/>
  <c r="M164" i="12"/>
  <c r="M173" i="12" s="1"/>
  <c r="N169" i="12"/>
  <c r="N164" i="12"/>
  <c r="L173" i="12"/>
  <c r="K173" i="12"/>
  <c r="J173" i="12"/>
  <c r="I173" i="12"/>
  <c r="H164" i="12"/>
  <c r="H169" i="12"/>
  <c r="G164" i="12"/>
  <c r="F73" i="1"/>
  <c r="F149" i="1"/>
  <c r="E149" i="1"/>
  <c r="F148" i="1"/>
  <c r="F49" i="1"/>
  <c r="G22" i="1"/>
  <c r="E22" i="1"/>
  <c r="F109" i="9"/>
  <c r="G109" i="9" s="1"/>
  <c r="F107" i="9"/>
  <c r="G107" i="9" s="1"/>
  <c r="F108" i="9"/>
  <c r="G108" i="9" s="1"/>
  <c r="F106" i="9"/>
  <c r="G106" i="9" s="1"/>
  <c r="F102" i="9"/>
  <c r="G102" i="9" s="1"/>
  <c r="F81" i="9"/>
  <c r="G81" i="9" s="1"/>
  <c r="F77" i="9"/>
  <c r="G77" i="9" s="1"/>
  <c r="F78" i="9"/>
  <c r="G78" i="9" s="1"/>
  <c r="H78" i="9" s="1"/>
  <c r="I78" i="9" s="1"/>
  <c r="F79" i="9"/>
  <c r="G79" i="9" s="1"/>
  <c r="H79" i="9" s="1"/>
  <c r="I79" i="9" s="1"/>
  <c r="F80" i="9"/>
  <c r="G80" i="9" s="1"/>
  <c r="H80" i="9" s="1"/>
  <c r="I80" i="9" s="1"/>
  <c r="G76" i="9"/>
  <c r="H76" i="9" s="1"/>
  <c r="F12" i="9"/>
  <c r="G12" i="9" s="1"/>
  <c r="F13" i="9"/>
  <c r="G13" i="9" s="1"/>
  <c r="F14" i="9"/>
  <c r="G14" i="9" s="1"/>
  <c r="F15" i="9"/>
  <c r="G15" i="9" s="1"/>
  <c r="F16" i="9"/>
  <c r="G16" i="9" s="1"/>
  <c r="H11" i="9"/>
  <c r="I11" i="9" s="1"/>
  <c r="Q11" i="9" s="1"/>
  <c r="E134" i="1"/>
  <c r="F134" i="1" s="1"/>
  <c r="E136" i="1"/>
  <c r="F136" i="1" s="1"/>
  <c r="G136" i="1"/>
  <c r="H136" i="1" s="1"/>
  <c r="I136" i="1" s="1"/>
  <c r="N158" i="12"/>
  <c r="M158" i="12"/>
  <c r="N153" i="12"/>
  <c r="M153" i="12"/>
  <c r="N148" i="12"/>
  <c r="N143" i="12"/>
  <c r="M143" i="12"/>
  <c r="M163" i="12" s="1"/>
  <c r="N137" i="12"/>
  <c r="M137" i="12"/>
  <c r="N132" i="12"/>
  <c r="M132" i="12"/>
  <c r="N127" i="12"/>
  <c r="M127" i="12"/>
  <c r="N122" i="12"/>
  <c r="M122" i="12"/>
  <c r="N117" i="12"/>
  <c r="M117" i="12"/>
  <c r="N112" i="12"/>
  <c r="M112" i="12"/>
  <c r="N107" i="12"/>
  <c r="M107" i="12"/>
  <c r="N102" i="12"/>
  <c r="M102" i="12"/>
  <c r="N97" i="12"/>
  <c r="M97" i="12"/>
  <c r="N92" i="12"/>
  <c r="M92" i="12"/>
  <c r="N87" i="12"/>
  <c r="M87" i="12"/>
  <c r="N82" i="12"/>
  <c r="M82" i="12"/>
  <c r="N77" i="12"/>
  <c r="M77" i="12"/>
  <c r="N72" i="12"/>
  <c r="M72" i="12"/>
  <c r="N67" i="12"/>
  <c r="M67" i="12"/>
  <c r="N62" i="12"/>
  <c r="M62" i="12"/>
  <c r="N57" i="12"/>
  <c r="M57" i="12"/>
  <c r="N52" i="12"/>
  <c r="M52" i="12"/>
  <c r="N47" i="12"/>
  <c r="M47" i="12"/>
  <c r="N42" i="12"/>
  <c r="M42" i="12"/>
  <c r="N32" i="12"/>
  <c r="M32" i="12"/>
  <c r="M27" i="12"/>
  <c r="N22" i="12"/>
  <c r="M22" i="12"/>
  <c r="N17" i="12"/>
  <c r="M17" i="12"/>
  <c r="N12" i="12"/>
  <c r="M12" i="12"/>
  <c r="H158" i="12"/>
  <c r="G158" i="12"/>
  <c r="H153" i="12"/>
  <c r="G153" i="12"/>
  <c r="H148" i="12"/>
  <c r="G148" i="12"/>
  <c r="H143" i="12"/>
  <c r="G143" i="12"/>
  <c r="H137" i="12"/>
  <c r="G137" i="12"/>
  <c r="H132" i="12"/>
  <c r="G132" i="12"/>
  <c r="H127" i="12"/>
  <c r="G127" i="12"/>
  <c r="H122" i="12"/>
  <c r="G122" i="12"/>
  <c r="H117" i="12"/>
  <c r="G117" i="12"/>
  <c r="H112" i="12"/>
  <c r="G112" i="12"/>
  <c r="H107" i="12"/>
  <c r="G107" i="12"/>
  <c r="H102" i="12"/>
  <c r="G102" i="12"/>
  <c r="H97" i="12"/>
  <c r="G97" i="12"/>
  <c r="H92" i="12"/>
  <c r="G92" i="12"/>
  <c r="H87" i="12"/>
  <c r="G87" i="12"/>
  <c r="H82" i="12"/>
  <c r="G82" i="12"/>
  <c r="H77" i="12"/>
  <c r="G77" i="12"/>
  <c r="H72" i="12"/>
  <c r="G72" i="12"/>
  <c r="H67" i="12"/>
  <c r="G67" i="12"/>
  <c r="H62" i="12"/>
  <c r="G62" i="12"/>
  <c r="H57" i="12"/>
  <c r="G57" i="12"/>
  <c r="H52" i="12"/>
  <c r="G52" i="12"/>
  <c r="H47" i="12"/>
  <c r="G47" i="12"/>
  <c r="H42" i="12"/>
  <c r="G42" i="12"/>
  <c r="H32" i="12"/>
  <c r="G32" i="12"/>
  <c r="H27" i="12"/>
  <c r="H22" i="12"/>
  <c r="G22" i="12"/>
  <c r="H17" i="12"/>
  <c r="G17" i="12"/>
  <c r="G12" i="12"/>
  <c r="H12" i="12"/>
  <c r="M7" i="12"/>
  <c r="H7" i="12"/>
  <c r="N163" i="12"/>
  <c r="T16" i="8"/>
  <c r="U16" i="8"/>
  <c r="V16" i="8"/>
  <c r="W16" i="8"/>
  <c r="X16" i="8"/>
  <c r="Y16" i="8"/>
  <c r="Z16" i="8"/>
  <c r="AA16" i="8"/>
  <c r="AB16" i="8"/>
  <c r="AC16" i="8"/>
  <c r="AD16" i="8"/>
  <c r="AE16" i="8"/>
  <c r="D118" i="1"/>
  <c r="H145" i="1"/>
  <c r="I145" i="1" s="1"/>
  <c r="E148" i="1"/>
  <c r="AF6" i="8"/>
  <c r="N81" i="9"/>
  <c r="P11" i="9"/>
  <c r="AX9" i="8"/>
  <c r="AX8" i="8"/>
  <c r="AX15" i="8"/>
  <c r="AX14" i="8"/>
  <c r="AX13" i="8"/>
  <c r="AX12" i="8"/>
  <c r="AX11" i="8"/>
  <c r="AX10" i="8"/>
  <c r="AT16" i="8"/>
  <c r="AU16" i="8"/>
  <c r="AV16" i="8"/>
  <c r="AJ8" i="8"/>
  <c r="AJ10" i="8"/>
  <c r="D149" i="1"/>
  <c r="G148" i="1"/>
  <c r="D96" i="1"/>
  <c r="I64" i="1"/>
  <c r="E65" i="1"/>
  <c r="F65" i="1" s="1"/>
  <c r="I65" i="1"/>
  <c r="E66" i="1"/>
  <c r="F66" i="1" s="1"/>
  <c r="I66" i="1"/>
  <c r="E67" i="1"/>
  <c r="F67" i="1" s="1"/>
  <c r="I67" i="1"/>
  <c r="E68" i="1"/>
  <c r="F68" i="1" s="1"/>
  <c r="I68" i="1"/>
  <c r="E69" i="1"/>
  <c r="F69" i="1" s="1"/>
  <c r="I69" i="1"/>
  <c r="E70" i="1"/>
  <c r="F70" i="1" s="1"/>
  <c r="I70" i="1"/>
  <c r="D54" i="1"/>
  <c r="D47" i="1"/>
  <c r="E42" i="1"/>
  <c r="E36" i="1"/>
  <c r="E33" i="1"/>
  <c r="R11" i="9"/>
  <c r="BC16" i="8"/>
  <c r="BB16" i="8"/>
  <c r="BA16" i="8"/>
  <c r="AZ16" i="8"/>
  <c r="AY16" i="8"/>
  <c r="AX16" i="8"/>
  <c r="AM16" i="8"/>
  <c r="D71" i="1"/>
  <c r="P23" i="8"/>
  <c r="P22" i="8"/>
  <c r="P24" i="8"/>
  <c r="P26" i="8"/>
  <c r="P21" i="8"/>
  <c r="B28" i="8"/>
  <c r="AJ9" i="8"/>
  <c r="AJ11" i="8"/>
  <c r="AJ12" i="8"/>
  <c r="AJ13" i="8"/>
  <c r="AJ14" i="8"/>
  <c r="AJ15" i="8"/>
  <c r="D22" i="8"/>
  <c r="F22" i="8"/>
  <c r="E23" i="8"/>
  <c r="F23" i="8"/>
  <c r="E24" i="8"/>
  <c r="F24" i="8"/>
  <c r="E26" i="8"/>
  <c r="F26" i="8"/>
  <c r="D27" i="8"/>
  <c r="F27" i="8"/>
  <c r="D25" i="8"/>
  <c r="F25" i="8"/>
  <c r="D21" i="8"/>
  <c r="E27" i="8"/>
  <c r="E25" i="8"/>
  <c r="E22" i="8"/>
  <c r="D23" i="8"/>
  <c r="D24" i="8"/>
  <c r="D26" i="8"/>
  <c r="C28" i="8"/>
  <c r="Q11" i="8"/>
  <c r="R11" i="8" s="1"/>
  <c r="S11" i="8" s="1"/>
  <c r="E28" i="8"/>
  <c r="D28" i="8"/>
  <c r="N109" i="9"/>
  <c r="S109" i="9" s="1"/>
  <c r="K109" i="9"/>
  <c r="N108" i="9"/>
  <c r="S108" i="9"/>
  <c r="K108" i="9"/>
  <c r="N107" i="9"/>
  <c r="K107" i="9"/>
  <c r="K106" i="9"/>
  <c r="K110" i="9"/>
  <c r="N102" i="9"/>
  <c r="R102" i="9"/>
  <c r="K102" i="9"/>
  <c r="P101" i="9"/>
  <c r="O101" i="9"/>
  <c r="N101" i="9"/>
  <c r="M101" i="9"/>
  <c r="L101" i="9"/>
  <c r="K101" i="9"/>
  <c r="P100" i="9"/>
  <c r="O100" i="9"/>
  <c r="N100" i="9"/>
  <c r="M100" i="9"/>
  <c r="L100" i="9"/>
  <c r="K100" i="9"/>
  <c r="P99" i="9"/>
  <c r="O99" i="9"/>
  <c r="N99" i="9"/>
  <c r="M99" i="9"/>
  <c r="L99" i="9"/>
  <c r="K99" i="9"/>
  <c r="P98" i="9"/>
  <c r="O98" i="9"/>
  <c r="N98" i="9"/>
  <c r="M98" i="9"/>
  <c r="L98" i="9"/>
  <c r="K98" i="9"/>
  <c r="P95" i="9"/>
  <c r="V95" i="9"/>
  <c r="O95" i="9"/>
  <c r="U95" i="9"/>
  <c r="N95" i="9"/>
  <c r="T95" i="9"/>
  <c r="M95" i="9"/>
  <c r="S95" i="9"/>
  <c r="L95" i="9"/>
  <c r="R95" i="9"/>
  <c r="K95" i="9"/>
  <c r="P94" i="9"/>
  <c r="V94" i="9"/>
  <c r="O94" i="9"/>
  <c r="U94" i="9"/>
  <c r="N94" i="9"/>
  <c r="T94" i="9"/>
  <c r="M94" i="9"/>
  <c r="S94" i="9"/>
  <c r="L94" i="9"/>
  <c r="R94" i="9"/>
  <c r="K94" i="9"/>
  <c r="P93" i="9"/>
  <c r="V93" i="9"/>
  <c r="O93" i="9"/>
  <c r="U93" i="9"/>
  <c r="N93" i="9"/>
  <c r="T93" i="9"/>
  <c r="M93" i="9"/>
  <c r="S93" i="9"/>
  <c r="L93" i="9"/>
  <c r="R93" i="9"/>
  <c r="K93" i="9"/>
  <c r="P92" i="9"/>
  <c r="V92" i="9"/>
  <c r="O92" i="9"/>
  <c r="N92" i="9"/>
  <c r="T92" i="9"/>
  <c r="M92" i="9"/>
  <c r="S92" i="9"/>
  <c r="L92" i="9"/>
  <c r="R92" i="9"/>
  <c r="K92" i="9"/>
  <c r="P91" i="9"/>
  <c r="V91" i="9"/>
  <c r="O91" i="9"/>
  <c r="U91" i="9"/>
  <c r="N91" i="9"/>
  <c r="T91" i="9"/>
  <c r="M91" i="9"/>
  <c r="S91" i="9"/>
  <c r="L91" i="9"/>
  <c r="R91" i="9"/>
  <c r="K91" i="9"/>
  <c r="P90" i="9"/>
  <c r="O90" i="9"/>
  <c r="U90" i="9"/>
  <c r="N90" i="9"/>
  <c r="T90" i="9"/>
  <c r="M90" i="9"/>
  <c r="S90" i="9"/>
  <c r="L90" i="9"/>
  <c r="R90" i="9"/>
  <c r="K90" i="9"/>
  <c r="P89" i="9"/>
  <c r="V89" i="9"/>
  <c r="O89" i="9"/>
  <c r="N89" i="9"/>
  <c r="T89" i="9"/>
  <c r="M89" i="9"/>
  <c r="S89" i="9"/>
  <c r="L89" i="9"/>
  <c r="R89" i="9"/>
  <c r="K89" i="9"/>
  <c r="P88" i="9"/>
  <c r="V88" i="9"/>
  <c r="O88" i="9"/>
  <c r="N88" i="9"/>
  <c r="M88" i="9"/>
  <c r="S88" i="9"/>
  <c r="L88" i="9"/>
  <c r="R88" i="9"/>
  <c r="K88" i="9"/>
  <c r="P87" i="9"/>
  <c r="V87" i="9"/>
  <c r="O87" i="9"/>
  <c r="N87" i="9"/>
  <c r="T87" i="9"/>
  <c r="M87" i="9"/>
  <c r="L87" i="9"/>
  <c r="R87" i="9"/>
  <c r="K87" i="9"/>
  <c r="P86" i="9"/>
  <c r="V86" i="9"/>
  <c r="O86" i="9"/>
  <c r="N86" i="9"/>
  <c r="T86" i="9"/>
  <c r="M86" i="9"/>
  <c r="L86" i="9"/>
  <c r="R86" i="9"/>
  <c r="K86" i="9"/>
  <c r="P85" i="9"/>
  <c r="O85" i="9"/>
  <c r="U85" i="9"/>
  <c r="V85" i="9"/>
  <c r="N85" i="9"/>
  <c r="T85" i="9"/>
  <c r="M85" i="9"/>
  <c r="L85" i="9"/>
  <c r="R85" i="9"/>
  <c r="K85" i="9"/>
  <c r="P84" i="9"/>
  <c r="V84" i="9"/>
  <c r="O84" i="9"/>
  <c r="U84" i="9"/>
  <c r="N84" i="9"/>
  <c r="T84" i="9"/>
  <c r="M84" i="9"/>
  <c r="S84" i="9"/>
  <c r="L84" i="9"/>
  <c r="R84" i="9"/>
  <c r="K84" i="9"/>
  <c r="P83" i="9"/>
  <c r="V83" i="9"/>
  <c r="O83" i="9"/>
  <c r="N83" i="9"/>
  <c r="T83" i="9"/>
  <c r="M83" i="9"/>
  <c r="S83" i="9"/>
  <c r="L83" i="9"/>
  <c r="R83" i="9"/>
  <c r="K83" i="9"/>
  <c r="P82" i="9"/>
  <c r="O82" i="9"/>
  <c r="U82" i="9"/>
  <c r="N82" i="9"/>
  <c r="T82" i="9"/>
  <c r="M82" i="9"/>
  <c r="S82" i="9"/>
  <c r="L82" i="9"/>
  <c r="R82" i="9"/>
  <c r="K82" i="9"/>
  <c r="S81" i="9"/>
  <c r="K81" i="9"/>
  <c r="V80" i="9"/>
  <c r="U80" i="9"/>
  <c r="T80" i="9"/>
  <c r="S80" i="9"/>
  <c r="R80" i="9"/>
  <c r="V79" i="9"/>
  <c r="U79" i="9"/>
  <c r="T79" i="9"/>
  <c r="S79" i="9"/>
  <c r="R79" i="9"/>
  <c r="V78" i="9"/>
  <c r="U78" i="9"/>
  <c r="T78" i="9"/>
  <c r="S78" i="9"/>
  <c r="R78" i="9"/>
  <c r="N77" i="9"/>
  <c r="S77" i="9" s="1"/>
  <c r="K77" i="9"/>
  <c r="N76" i="9"/>
  <c r="K76" i="9"/>
  <c r="K96" i="9"/>
  <c r="K103" i="9"/>
  <c r="K11" i="9"/>
  <c r="C17" i="9"/>
  <c r="K17" i="9"/>
  <c r="K20" i="9"/>
  <c r="K111" i="9"/>
  <c r="V19" i="9"/>
  <c r="U19" i="9"/>
  <c r="T19" i="9"/>
  <c r="S19" i="9"/>
  <c r="R19" i="9"/>
  <c r="V18" i="9"/>
  <c r="U18" i="9"/>
  <c r="T18" i="9"/>
  <c r="S18" i="9"/>
  <c r="R18" i="9"/>
  <c r="V16" i="9"/>
  <c r="N16" i="9"/>
  <c r="S16" i="9" s="1"/>
  <c r="M16" i="9"/>
  <c r="R16" i="9"/>
  <c r="K16" i="9"/>
  <c r="V15" i="9"/>
  <c r="N15" i="9"/>
  <c r="M15" i="9"/>
  <c r="R15" i="9"/>
  <c r="K15" i="9"/>
  <c r="V14" i="9"/>
  <c r="N14" i="9"/>
  <c r="S14" i="9" s="1"/>
  <c r="M14" i="9"/>
  <c r="R14" i="9"/>
  <c r="K14" i="9"/>
  <c r="V13" i="9"/>
  <c r="N13" i="9"/>
  <c r="M13" i="9"/>
  <c r="S13" i="9"/>
  <c r="R13" i="9"/>
  <c r="K13" i="9"/>
  <c r="V12" i="9"/>
  <c r="N12" i="9"/>
  <c r="M12" i="9"/>
  <c r="R12" i="9"/>
  <c r="K12" i="9"/>
  <c r="R108" i="9"/>
  <c r="V82" i="9"/>
  <c r="U89" i="9"/>
  <c r="V90" i="9"/>
  <c r="S102" i="9"/>
  <c r="U92" i="9"/>
  <c r="U83" i="9"/>
  <c r="U87" i="9"/>
  <c r="AG6" i="8"/>
  <c r="AW16" i="8"/>
  <c r="P27" i="8"/>
  <c r="P20" i="8"/>
  <c r="R109" i="9"/>
  <c r="R107" i="9"/>
  <c r="O76" i="9"/>
  <c r="T76" i="9" s="1"/>
  <c r="S17" i="9"/>
  <c r="S15" i="9"/>
  <c r="S85" i="9"/>
  <c r="S87" i="9"/>
  <c r="T88" i="9"/>
  <c r="S12" i="9"/>
  <c r="R81" i="9"/>
  <c r="S107" i="9"/>
  <c r="N96" i="9"/>
  <c r="R77" i="9"/>
  <c r="S86" i="9"/>
  <c r="U86" i="9"/>
  <c r="U88" i="9"/>
  <c r="S76" i="9"/>
  <c r="R76" i="9"/>
  <c r="R17" i="9"/>
  <c r="G149" i="1"/>
  <c r="E153" i="1"/>
  <c r="E39" i="1"/>
  <c r="E30" i="1" s="1"/>
  <c r="E26" i="1" s="1"/>
  <c r="E118" i="1"/>
  <c r="P25" i="8"/>
  <c r="P28" i="8"/>
  <c r="F118" i="1"/>
  <c r="H148" i="1"/>
  <c r="G118" i="1"/>
  <c r="I59" i="1"/>
  <c r="F96" i="1"/>
  <c r="H20" i="1" l="1"/>
  <c r="I20" i="1" s="1"/>
  <c r="F20" i="1"/>
  <c r="F151" i="1"/>
  <c r="G153" i="1"/>
  <c r="G81" i="1"/>
  <c r="G96" i="1" s="1"/>
  <c r="S28" i="8"/>
  <c r="I16" i="8" s="1"/>
  <c r="H81" i="1"/>
  <c r="S24" i="8"/>
  <c r="I12" i="8" s="1"/>
  <c r="T21" i="8"/>
  <c r="J9" i="8" s="1"/>
  <c r="T28" i="8"/>
  <c r="J16" i="8" s="1"/>
  <c r="I130" i="1"/>
  <c r="G42" i="1"/>
  <c r="F16" i="1"/>
  <c r="F42" i="1" s="1"/>
  <c r="H16" i="1"/>
  <c r="I128" i="1"/>
  <c r="G134" i="1"/>
  <c r="H134" i="1" s="1"/>
  <c r="I134" i="1" s="1"/>
  <c r="U29" i="8"/>
  <c r="H96" i="1"/>
  <c r="I86" i="1"/>
  <c r="G127" i="1"/>
  <c r="G131" i="1"/>
  <c r="I148" i="1"/>
  <c r="F59" i="1"/>
  <c r="E71" i="1"/>
  <c r="G126" i="1"/>
  <c r="G17" i="1"/>
  <c r="E47" i="1"/>
  <c r="G135" i="1"/>
  <c r="H135" i="1" s="1"/>
  <c r="I135" i="1" s="1"/>
  <c r="G129" i="1"/>
  <c r="G163" i="12"/>
  <c r="H173" i="12"/>
  <c r="N173" i="12"/>
  <c r="H163" i="12"/>
  <c r="F22" i="1"/>
  <c r="E72" i="1"/>
  <c r="H7" i="1"/>
  <c r="G7" i="1"/>
  <c r="G133" i="1"/>
  <c r="G132" i="1"/>
  <c r="N106" i="9"/>
  <c r="M110" i="9"/>
  <c r="R110" i="9" s="1"/>
  <c r="D40" i="1" s="1"/>
  <c r="N103" i="9"/>
  <c r="M96" i="9"/>
  <c r="M103" i="9"/>
  <c r="R103" i="9" s="1"/>
  <c r="D37" i="1" s="1"/>
  <c r="R96" i="9"/>
  <c r="S96" i="9"/>
  <c r="L111" i="9"/>
  <c r="R20" i="9"/>
  <c r="D34" i="1" s="1"/>
  <c r="O108" i="9"/>
  <c r="T108" i="9" s="1"/>
  <c r="H108" i="9"/>
  <c r="O107" i="9"/>
  <c r="T107" i="9" s="1"/>
  <c r="H107" i="9"/>
  <c r="O109" i="9"/>
  <c r="T109" i="9" s="1"/>
  <c r="H109" i="9"/>
  <c r="H106" i="9"/>
  <c r="O106" i="9"/>
  <c r="I76" i="9"/>
  <c r="Q76" i="9" s="1"/>
  <c r="P76" i="9"/>
  <c r="H77" i="9"/>
  <c r="O77" i="9"/>
  <c r="H81" i="9"/>
  <c r="O81" i="9"/>
  <c r="T81" i="9" s="1"/>
  <c r="H102" i="9"/>
  <c r="O102" i="9"/>
  <c r="O14" i="9"/>
  <c r="H14" i="9"/>
  <c r="I14" i="9" s="1"/>
  <c r="O17" i="9"/>
  <c r="T17" i="9" s="1"/>
  <c r="H17" i="9"/>
  <c r="V11" i="9"/>
  <c r="O13" i="9"/>
  <c r="H13" i="9"/>
  <c r="I13" i="9" s="1"/>
  <c r="H16" i="9"/>
  <c r="I16" i="9" s="1"/>
  <c r="O16" i="9"/>
  <c r="O12" i="9"/>
  <c r="H12" i="9"/>
  <c r="I12" i="9" s="1"/>
  <c r="T11" i="9"/>
  <c r="U11" i="9"/>
  <c r="H15" i="9"/>
  <c r="I15" i="9" s="1"/>
  <c r="O15" i="9"/>
  <c r="N20" i="9"/>
  <c r="H118" i="1"/>
  <c r="I106" i="1"/>
  <c r="H149" i="1"/>
  <c r="I85" i="1"/>
  <c r="I89" i="1"/>
  <c r="H71" i="1"/>
  <c r="I57" i="1"/>
  <c r="I71" i="1" s="1"/>
  <c r="I79" i="1"/>
  <c r="R8" i="8"/>
  <c r="Q16" i="8"/>
  <c r="AS16" i="8"/>
  <c r="F71" i="1"/>
  <c r="H151" i="1"/>
  <c r="S27" i="8"/>
  <c r="I15" i="8" s="1"/>
  <c r="S23" i="8"/>
  <c r="I11" i="8" s="1"/>
  <c r="S26" i="8"/>
  <c r="I14" i="8" s="1"/>
  <c r="S22" i="8"/>
  <c r="I10" i="8" s="1"/>
  <c r="S20" i="8"/>
  <c r="I8" i="8" s="1"/>
  <c r="S25" i="8"/>
  <c r="I13" i="8" s="1"/>
  <c r="I48" i="1"/>
  <c r="I49" i="1" s="1"/>
  <c r="H49" i="1"/>
  <c r="G49" i="1"/>
  <c r="R27" i="8"/>
  <c r="H15" i="8" s="1"/>
  <c r="R25" i="8"/>
  <c r="H13" i="8" s="1"/>
  <c r="R23" i="8"/>
  <c r="H11" i="8" s="1"/>
  <c r="R21" i="8"/>
  <c r="H9" i="8" s="1"/>
  <c r="R20" i="8"/>
  <c r="H8" i="8" s="1"/>
  <c r="R26" i="8"/>
  <c r="H14" i="8" s="1"/>
  <c r="R24" i="8"/>
  <c r="H12" i="8" s="1"/>
  <c r="R22" i="8"/>
  <c r="H10" i="8" s="1"/>
  <c r="I72" i="1"/>
  <c r="H18" i="1"/>
  <c r="G54" i="1"/>
  <c r="F18" i="1"/>
  <c r="F54" i="1" s="1"/>
  <c r="G47" i="1"/>
  <c r="H17" i="1"/>
  <c r="F17" i="1"/>
  <c r="F47" i="1" s="1"/>
  <c r="I16" i="1"/>
  <c r="F15" i="1"/>
  <c r="F39" i="1" s="1"/>
  <c r="G39" i="1"/>
  <c r="H15" i="1"/>
  <c r="G36" i="1"/>
  <c r="H14" i="1"/>
  <c r="F14" i="1"/>
  <c r="F36" i="1" s="1"/>
  <c r="H13" i="1"/>
  <c r="F13" i="1"/>
  <c r="F33" i="1" s="1"/>
  <c r="G33" i="1"/>
  <c r="F9" i="1"/>
  <c r="I9" i="1"/>
  <c r="U22" i="8"/>
  <c r="K10" i="8" s="1"/>
  <c r="U26" i="8"/>
  <c r="K14" i="8" s="1"/>
  <c r="U21" i="8"/>
  <c r="K9" i="8" s="1"/>
  <c r="U25" i="8"/>
  <c r="K13" i="8" s="1"/>
  <c r="U20" i="8"/>
  <c r="K8" i="8" s="1"/>
  <c r="U24" i="8"/>
  <c r="K12" i="8" s="1"/>
  <c r="U27" i="8"/>
  <c r="K15" i="8" s="1"/>
  <c r="U23" i="8"/>
  <c r="K11" i="8" s="1"/>
  <c r="U28" i="8"/>
  <c r="K16" i="8" s="1"/>
  <c r="W22" i="8"/>
  <c r="M10" i="8" s="1"/>
  <c r="W26" i="8"/>
  <c r="M14" i="8" s="1"/>
  <c r="W21" i="8"/>
  <c r="M9" i="8" s="1"/>
  <c r="W25" i="8"/>
  <c r="M13" i="8" s="1"/>
  <c r="W27" i="8"/>
  <c r="M15" i="8" s="1"/>
  <c r="W20" i="8"/>
  <c r="M8" i="8" s="1"/>
  <c r="W24" i="8"/>
  <c r="M12" i="8" s="1"/>
  <c r="W23" i="8"/>
  <c r="M11" i="8" s="1"/>
  <c r="W28" i="8"/>
  <c r="M16" i="8" s="1"/>
  <c r="V29" i="8"/>
  <c r="T26" i="8"/>
  <c r="J14" i="8" s="1"/>
  <c r="T24" i="8"/>
  <c r="J12" i="8" s="1"/>
  <c r="T22" i="8"/>
  <c r="J10" i="8" s="1"/>
  <c r="T20" i="8"/>
  <c r="J8" i="8" s="1"/>
  <c r="T27" i="8"/>
  <c r="J15" i="8" s="1"/>
  <c r="T25" i="8"/>
  <c r="J13" i="8" s="1"/>
  <c r="T23" i="8"/>
  <c r="J11" i="8" s="1"/>
  <c r="D21" i="1"/>
  <c r="E21" i="1"/>
  <c r="H129" i="1" l="1"/>
  <c r="G72" i="1"/>
  <c r="H72" i="1"/>
  <c r="H131" i="1"/>
  <c r="H126" i="1"/>
  <c r="H42" i="1"/>
  <c r="H127" i="1"/>
  <c r="G21" i="1"/>
  <c r="H133" i="1"/>
  <c r="H132" i="1"/>
  <c r="M111" i="9"/>
  <c r="R111" i="9" s="1"/>
  <c r="D31" i="1" s="1"/>
  <c r="D27" i="1" s="1"/>
  <c r="S106" i="9"/>
  <c r="N110" i="9"/>
  <c r="S110" i="9" s="1"/>
  <c r="E40" i="1" s="1"/>
  <c r="S103" i="9"/>
  <c r="E37" i="1" s="1"/>
  <c r="O110" i="9"/>
  <c r="T106" i="9"/>
  <c r="I107" i="9"/>
  <c r="Q107" i="9" s="1"/>
  <c r="V107" i="9" s="1"/>
  <c r="P107" i="9"/>
  <c r="U107" i="9" s="1"/>
  <c r="I106" i="9"/>
  <c r="Q106" i="9" s="1"/>
  <c r="P106" i="9"/>
  <c r="I109" i="9"/>
  <c r="Q109" i="9" s="1"/>
  <c r="V109" i="9" s="1"/>
  <c r="P109" i="9"/>
  <c r="U109" i="9" s="1"/>
  <c r="I108" i="9"/>
  <c r="Q108" i="9" s="1"/>
  <c r="P108" i="9"/>
  <c r="U108" i="9" s="1"/>
  <c r="I102" i="9"/>
  <c r="Q102" i="9" s="1"/>
  <c r="P102" i="9"/>
  <c r="U76" i="9"/>
  <c r="T102" i="9"/>
  <c r="T77" i="9"/>
  <c r="O96" i="9"/>
  <c r="T96" i="9" s="1"/>
  <c r="I77" i="9"/>
  <c r="Q77" i="9" s="1"/>
  <c r="P77" i="9"/>
  <c r="U77" i="9" s="1"/>
  <c r="I81" i="9"/>
  <c r="Q81" i="9" s="1"/>
  <c r="P81" i="9"/>
  <c r="U81" i="9" s="1"/>
  <c r="V76" i="9"/>
  <c r="U13" i="9"/>
  <c r="T13" i="9"/>
  <c r="T15" i="9"/>
  <c r="U15" i="9"/>
  <c r="O20" i="9"/>
  <c r="U14" i="9"/>
  <c r="T14" i="9"/>
  <c r="I17" i="9"/>
  <c r="Q17" i="9" s="1"/>
  <c r="P17" i="9"/>
  <c r="S20" i="9"/>
  <c r="E34" i="1" s="1"/>
  <c r="U16" i="9"/>
  <c r="T16" i="9"/>
  <c r="T12" i="9"/>
  <c r="U12" i="9"/>
  <c r="I149" i="1"/>
  <c r="I118" i="1"/>
  <c r="I96" i="1"/>
  <c r="S8" i="8"/>
  <c r="S16" i="8" s="1"/>
  <c r="R16" i="8"/>
  <c r="I151" i="1"/>
  <c r="I153" i="1" s="1"/>
  <c r="H153" i="1"/>
  <c r="I19" i="1"/>
  <c r="H54" i="1"/>
  <c r="I18" i="1"/>
  <c r="I17" i="1"/>
  <c r="H47" i="1"/>
  <c r="I42" i="1"/>
  <c r="F30" i="1"/>
  <c r="F26" i="1" s="1"/>
  <c r="H39" i="1"/>
  <c r="I15" i="1"/>
  <c r="G30" i="1"/>
  <c r="G26" i="1" s="1"/>
  <c r="I14" i="1"/>
  <c r="H36" i="1"/>
  <c r="H21" i="1"/>
  <c r="I13" i="1"/>
  <c r="H33" i="1"/>
  <c r="V20" i="8"/>
  <c r="L8" i="8" s="1"/>
  <c r="V24" i="8"/>
  <c r="L12" i="8" s="1"/>
  <c r="V27" i="8"/>
  <c r="L15" i="8" s="1"/>
  <c r="V23" i="8"/>
  <c r="L11" i="8" s="1"/>
  <c r="V28" i="8"/>
  <c r="L16" i="8" s="1"/>
  <c r="V22" i="8"/>
  <c r="L10" i="8" s="1"/>
  <c r="V26" i="8"/>
  <c r="L14" i="8" s="1"/>
  <c r="V21" i="8"/>
  <c r="L9" i="8" s="1"/>
  <c r="V25" i="8"/>
  <c r="L13" i="8" s="1"/>
  <c r="F21" i="1"/>
  <c r="F72" i="1"/>
  <c r="I127" i="1" l="1"/>
  <c r="I131" i="1"/>
  <c r="I126" i="1"/>
  <c r="I129" i="1"/>
  <c r="I133" i="1"/>
  <c r="I132" i="1"/>
  <c r="T110" i="9"/>
  <c r="F40" i="1" s="1"/>
  <c r="N111" i="9"/>
  <c r="S111" i="9" s="1"/>
  <c r="E31" i="1" s="1"/>
  <c r="E27" i="1" s="1"/>
  <c r="P110" i="9"/>
  <c r="U110" i="9" s="1"/>
  <c r="G40" i="1" s="1"/>
  <c r="H40" i="1" s="1"/>
  <c r="U106" i="9"/>
  <c r="V108" i="9"/>
  <c r="V106" i="9"/>
  <c r="Q110" i="9"/>
  <c r="V81" i="9"/>
  <c r="Q96" i="9"/>
  <c r="O103" i="9"/>
  <c r="T103" i="9" s="1"/>
  <c r="F37" i="1" s="1"/>
  <c r="G37" i="1" s="1"/>
  <c r="U102" i="9"/>
  <c r="V77" i="9"/>
  <c r="Q103" i="9"/>
  <c r="V102" i="9"/>
  <c r="P96" i="9"/>
  <c r="U96" i="9" s="1"/>
  <c r="P20" i="9"/>
  <c r="U17" i="9"/>
  <c r="O111" i="9"/>
  <c r="T111" i="9" s="1"/>
  <c r="F31" i="1" s="1"/>
  <c r="T20" i="9"/>
  <c r="F34" i="1" s="1"/>
  <c r="V17" i="9"/>
  <c r="Q20" i="9"/>
  <c r="I54" i="1"/>
  <c r="I47" i="1"/>
  <c r="H30" i="1"/>
  <c r="H26" i="1" s="1"/>
  <c r="I39" i="1"/>
  <c r="I36" i="1"/>
  <c r="I33" i="1"/>
  <c r="I21" i="1"/>
  <c r="V110" i="9" l="1"/>
  <c r="I40" i="1" s="1"/>
  <c r="P103" i="9"/>
  <c r="U103" i="9" s="1"/>
  <c r="H37" i="1" s="1"/>
  <c r="V96" i="9"/>
  <c r="F27" i="1"/>
  <c r="G31" i="1"/>
  <c r="G27" i="1" s="1"/>
  <c r="Q111" i="9"/>
  <c r="V20" i="9"/>
  <c r="I34" i="1" s="1"/>
  <c r="U20" i="9"/>
  <c r="G34" i="1" s="1"/>
  <c r="H34" i="1" s="1"/>
  <c r="I30" i="1"/>
  <c r="I26" i="1" s="1"/>
  <c r="P111" i="9" l="1"/>
  <c r="U111" i="9" s="1"/>
  <c r="H31" i="1" s="1"/>
  <c r="H27" i="1" s="1"/>
  <c r="V103" i="9"/>
  <c r="I37" i="1" s="1"/>
  <c r="V111" i="9"/>
  <c r="I31" i="1" s="1"/>
  <c r="I27" i="1" s="1"/>
</calcChain>
</file>

<file path=xl/comments1.xml><?xml version="1.0" encoding="utf-8"?>
<comments xmlns="http://schemas.openxmlformats.org/spreadsheetml/2006/main">
  <authors>
    <author>Салдушева Анастасия Валерьевна</author>
    <author>Орлова Юлия Анатольевна</author>
  </authors>
  <commentList>
    <comment ref="E48" authorId="0">
      <text>
        <r>
          <rPr>
            <b/>
            <sz val="9"/>
            <color indexed="81"/>
            <rFont val="Tahoma"/>
            <family val="2"/>
            <charset val="204"/>
          </rPr>
          <t>Салдушева Анастасия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1 кв 2024
 стат</t>
        </r>
      </text>
    </comment>
    <comment ref="E51" authorId="0">
      <text>
        <r>
          <rPr>
            <b/>
            <sz val="9"/>
            <color indexed="81"/>
            <rFont val="Tahoma"/>
            <family val="2"/>
            <charset val="204"/>
          </rPr>
          <t>Салдушева Анастасия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2023* индекс тарифов на грузовые перевозки</t>
        </r>
      </text>
    </comment>
    <comment ref="E52" authorId="0">
      <text>
        <r>
          <rPr>
            <b/>
            <sz val="9"/>
            <color indexed="81"/>
            <rFont val="Tahoma"/>
            <family val="2"/>
            <charset val="204"/>
          </rPr>
          <t>Салдушева Анастасия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1 кв 2024 аналит
</t>
        </r>
      </text>
    </comment>
    <comment ref="E75" authorId="1">
      <text>
        <r>
          <rPr>
            <b/>
            <sz val="9"/>
            <color indexed="81"/>
            <rFont val="Tahoma"/>
            <family val="2"/>
            <charset val="204"/>
          </rPr>
          <t>Орлова Юлия Анатольевна:</t>
        </r>
        <r>
          <rPr>
            <sz val="9"/>
            <color indexed="81"/>
            <rFont val="Tahoma"/>
            <family val="2"/>
            <charset val="204"/>
          </rPr>
          <t xml:space="preserve">
темп 101% по Указу 607</t>
        </r>
      </text>
    </comment>
    <comment ref="F78" authorId="1">
      <text>
        <r>
          <rPr>
            <b/>
            <sz val="9"/>
            <color indexed="81"/>
            <rFont val="Tahoma"/>
            <family val="2"/>
            <charset val="204"/>
          </rPr>
          <t>Орлова Юлия Анатольевна:</t>
        </r>
        <r>
          <rPr>
            <sz val="9"/>
            <color indexed="81"/>
            <rFont val="Tahoma"/>
            <family val="2"/>
            <charset val="204"/>
          </rPr>
          <t xml:space="preserve">
темп 24/23</t>
        </r>
      </text>
    </comment>
    <comment ref="G79" authorId="0">
      <text>
        <r>
          <rPr>
            <b/>
            <sz val="9"/>
            <color indexed="81"/>
            <rFont val="Tahoma"/>
            <family val="2"/>
            <charset val="204"/>
          </rPr>
          <t>Салдушева Анастасия Валерьевна
по ЦЗН разница безработных 2024/2023 в 10 чел</t>
        </r>
      </text>
    </comment>
    <comment ref="D104" authorId="0">
      <text>
        <r>
          <rPr>
            <b/>
            <sz val="9"/>
            <color indexed="81"/>
            <rFont val="Tahoma"/>
            <family val="2"/>
            <charset val="204"/>
          </rPr>
          <t>Салдушева Анастасия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103,23% - это темп роста предприятий СМСП 2023 к 2022 (юл+ип) (№ 607 У)</t>
        </r>
      </text>
    </comment>
    <comment ref="E145" authorId="0">
      <text>
        <r>
          <rPr>
            <b/>
            <sz val="9"/>
            <color indexed="81"/>
            <rFont val="Tahoma"/>
            <family val="2"/>
            <charset val="204"/>
          </rPr>
          <t>Салдушева Анастасия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мрот с 01.01.2024</t>
        </r>
      </text>
    </comment>
  </commentList>
</comments>
</file>

<file path=xl/comments2.xml><?xml version="1.0" encoding="utf-8"?>
<comments xmlns="http://schemas.openxmlformats.org/spreadsheetml/2006/main">
  <authors>
    <author>Орлова Юлия Анатольевна</author>
    <author>Салдушева Анастасия Валерьевна</author>
  </authors>
  <commentList>
    <comment ref="AP5" authorId="0">
      <text>
        <r>
          <rPr>
            <b/>
            <sz val="9"/>
            <color indexed="81"/>
            <rFont val="Tahoma"/>
            <family val="2"/>
            <charset val="204"/>
          </rPr>
          <t>Орлова Юлия Анатольевна:</t>
        </r>
        <r>
          <rPr>
            <sz val="9"/>
            <color indexed="81"/>
            <rFont val="Tahoma"/>
            <family val="2"/>
            <charset val="204"/>
          </rPr>
          <t xml:space="preserve">
транспортировка и хранение + деят-ть в обл информации и связи</t>
        </r>
      </text>
    </comment>
    <comment ref="AL8" authorId="1">
      <text>
        <r>
          <rPr>
            <b/>
            <sz val="9"/>
            <color indexed="81"/>
            <rFont val="Tahoma"/>
            <family val="2"/>
            <charset val="204"/>
          </rPr>
          <t>Салдушева Анастасия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10 садоводств, остальные по реестру смсп 2020 фильтр по оквэд и ручной подсчет по населенным пунктам</t>
        </r>
      </text>
    </comment>
    <comment ref="AO8" authorId="1">
      <text>
        <r>
          <rPr>
            <b/>
            <sz val="9"/>
            <color indexed="81"/>
            <rFont val="Tahoma"/>
            <family val="2"/>
            <charset val="204"/>
          </rPr>
          <t>Салдушева Анастасия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+хлеб соль, светофор</t>
        </r>
      </text>
    </comment>
    <comment ref="AQ8" authorId="1">
      <text>
        <r>
          <rPr>
            <b/>
            <sz val="9"/>
            <color indexed="81"/>
            <rFont val="Tahoma"/>
            <family val="2"/>
            <charset val="204"/>
          </rPr>
          <t>Салдушева Анастасия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методом разницы с прошлогодним прогнозом и нынешней суммой по оквэд</t>
        </r>
      </text>
    </comment>
    <comment ref="AX8" authorId="1">
      <text>
        <r>
          <rPr>
            <b/>
            <sz val="9"/>
            <color indexed="81"/>
            <rFont val="Tahoma"/>
            <family val="2"/>
            <charset val="204"/>
          </rPr>
          <t>Салдушева Анастасия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+муп кос бмо и муп газета</t>
        </r>
      </text>
    </comment>
    <comment ref="AL9" authorId="1">
      <text>
        <r>
          <rPr>
            <b/>
            <sz val="9"/>
            <color indexed="81"/>
            <rFont val="Tahoma"/>
            <family val="2"/>
            <charset val="204"/>
          </rPr>
          <t>Салдушева Анастасия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10 садоводств и отальные по реестру смсп за 2020 год</t>
        </r>
      </text>
    </comment>
    <comment ref="AM9" authorId="1">
      <text>
        <r>
          <rPr>
            <b/>
            <sz val="9"/>
            <color indexed="81"/>
            <rFont val="Tahoma"/>
            <family val="2"/>
            <charset val="204"/>
          </rPr>
          <t>Салдушева Анастасия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лесхоз</t>
        </r>
      </text>
    </comment>
    <comment ref="AN9" authorId="1">
      <text>
        <r>
          <rPr>
            <b/>
            <sz val="9"/>
            <color indexed="81"/>
            <rFont val="Tahoma"/>
            <family val="2"/>
            <charset val="204"/>
          </rPr>
          <t>Салдушева Анастасия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по реестру смсп +дорожник</t>
        </r>
      </text>
    </comment>
    <comment ref="AO9" authorId="1">
      <text>
        <r>
          <rPr>
            <b/>
            <sz val="9"/>
            <color indexed="81"/>
            <rFont val="Tahoma"/>
            <family val="2"/>
            <charset val="204"/>
          </rPr>
          <t>Салдушева Анастасия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+хлеб соль, светофор,фикспрайс
</t>
        </r>
      </text>
    </comment>
    <comment ref="AP9" authorId="1">
      <text>
        <r>
          <rPr>
            <b/>
            <sz val="9"/>
            <color indexed="81"/>
            <rFont val="Tahoma"/>
            <family val="2"/>
            <charset val="204"/>
          </rPr>
          <t>Салдушева Анастасия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по реестру смсп+статуссиб</t>
        </r>
      </text>
    </comment>
    <comment ref="AX9" authorId="1">
      <text>
        <r>
          <rPr>
            <b/>
            <sz val="9"/>
            <color indexed="81"/>
            <rFont val="Tahoma"/>
            <family val="2"/>
            <charset val="204"/>
          </rPr>
          <t>Салдушева Анастасия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+мау сл море, мау цех и лагерь ++6 адм, кспк,дума,куми,ксп,кф+мбу благ
</t>
        </r>
      </text>
    </comment>
    <comment ref="AO10" authorId="1">
      <text>
        <r>
          <rPr>
            <b/>
            <sz val="9"/>
            <color indexed="81"/>
            <rFont val="Tahoma"/>
            <family val="2"/>
            <charset val="204"/>
          </rPr>
          <t>Салдушева Анастасия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+ хлеб соль</t>
        </r>
      </text>
    </comment>
    <comment ref="AL12" authorId="1">
      <text>
        <r>
          <rPr>
            <b/>
            <sz val="9"/>
            <color indexed="81"/>
            <rFont val="Tahoma"/>
            <family val="2"/>
            <charset val="204"/>
          </rPr>
          <t>Салдушева Анастасия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3 садоводства и остальные по реестру смсп 2020
</t>
        </r>
      </text>
    </comment>
    <comment ref="AJ16" authorId="1">
      <text>
        <r>
          <rPr>
            <b/>
            <sz val="9"/>
            <color indexed="81"/>
            <rFont val="Tahoma"/>
            <family val="2"/>
            <charset val="204"/>
          </rPr>
          <t>Салдушева Анастасия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стат</t>
        </r>
      </text>
    </comment>
  </commentList>
</comments>
</file>

<file path=xl/sharedStrings.xml><?xml version="1.0" encoding="utf-8"?>
<sst xmlns="http://schemas.openxmlformats.org/spreadsheetml/2006/main" count="881" uniqueCount="453">
  <si>
    <t>Индекс промышленного производства</t>
  </si>
  <si>
    <t>Объем инвестиций в основной капитал за счет всех источников -  всего</t>
  </si>
  <si>
    <t>Прочие доходы</t>
  </si>
  <si>
    <t>Наименование показателя</t>
  </si>
  <si>
    <t>Ед. изм.</t>
  </si>
  <si>
    <t>Итоги развития МО</t>
  </si>
  <si>
    <t>млн.руб.</t>
  </si>
  <si>
    <t>в т.ч. по видам экономической деятельности:</t>
  </si>
  <si>
    <t>%</t>
  </si>
  <si>
    <t>руб.</t>
  </si>
  <si>
    <t>Состояние основных видов экономической деятельности хозяйствующих субъектов МО</t>
  </si>
  <si>
    <t>Валовый выпуск продукции  в сельхозорганизациях</t>
  </si>
  <si>
    <t>Строительство</t>
  </si>
  <si>
    <t>Ввод в действие жилых домов</t>
  </si>
  <si>
    <t>кв. м</t>
  </si>
  <si>
    <t>Введено жилья на душу населения</t>
  </si>
  <si>
    <t>Торговля</t>
  </si>
  <si>
    <t xml:space="preserve">Розничный товарооборот </t>
  </si>
  <si>
    <t xml:space="preserve">Индекс физического объема </t>
  </si>
  <si>
    <t>Малый бизнес</t>
  </si>
  <si>
    <t>ед.</t>
  </si>
  <si>
    <t>тыс.чел.</t>
  </si>
  <si>
    <t>тыс. чел.</t>
  </si>
  <si>
    <t>в том числе:</t>
  </si>
  <si>
    <t>Выплаты социального характера</t>
  </si>
  <si>
    <t>(органы местного самоуправления при необходимости дополняют номенклатуру продукции)</t>
  </si>
  <si>
    <t>Средняя цена за единицу продукции, тыс. рублей</t>
  </si>
  <si>
    <t>А</t>
  </si>
  <si>
    <t>ПРОМЫШЛЕННОЕ ПРОИЗВОДСТВО:</t>
  </si>
  <si>
    <t>тыс. м3</t>
  </si>
  <si>
    <t>т</t>
  </si>
  <si>
    <t>ИТОГО</t>
  </si>
  <si>
    <t>тыс. шт</t>
  </si>
  <si>
    <t>тыс.шт</t>
  </si>
  <si>
    <t>тыс.т</t>
  </si>
  <si>
    <t>зерно</t>
  </si>
  <si>
    <t>картофель</t>
  </si>
  <si>
    <t>овощи</t>
  </si>
  <si>
    <t>мясо</t>
  </si>
  <si>
    <t>молоко</t>
  </si>
  <si>
    <t>яйца</t>
  </si>
  <si>
    <t>Государственное управление и обеспечение военной безопасности; обязательное социальное обеспечение</t>
  </si>
  <si>
    <t>Добыча полезных ископаемых</t>
  </si>
  <si>
    <t>Обрабатывающие производства</t>
  </si>
  <si>
    <t>Образование</t>
  </si>
  <si>
    <t>Здравоохранение и предоставление социальных услуг</t>
  </si>
  <si>
    <t>из них по отраслям социальной сферы:</t>
  </si>
  <si>
    <t>Прочие</t>
  </si>
  <si>
    <t>ГВт.ч
 (млн.  Квт.ч.)</t>
  </si>
  <si>
    <t>1500*</t>
  </si>
  <si>
    <t>90,8*</t>
  </si>
  <si>
    <t>296,3*</t>
  </si>
  <si>
    <t>109,5*</t>
  </si>
  <si>
    <t>315,2*</t>
  </si>
  <si>
    <t>444*</t>
  </si>
  <si>
    <t>х</t>
  </si>
  <si>
    <t>Наименование элементарного вида деятельности,
 товара-представителя</t>
  </si>
  <si>
    <t>*) сопоставимая цена 1994 г. (рублей за единицу продукции)</t>
  </si>
  <si>
    <t xml:space="preserve">***) В данной форме органы местного самоуправления показывают только ту продукцию, которая производится в муниципальном образовании, остальные наименования товаров удаляются. </t>
  </si>
  <si>
    <t>Прогноз на:</t>
  </si>
  <si>
    <t>Количество индивидуальных предпринимателей</t>
  </si>
  <si>
    <t>Промышленное производство:</t>
  </si>
  <si>
    <t xml:space="preserve"> в том числе по видам экономической деятельности:</t>
  </si>
  <si>
    <t>Индекс промышленного производства - всего***:</t>
  </si>
  <si>
    <t xml:space="preserve">Расчет индексов производства продукции
по элементарному виду деятельности,  исходя из динамики по товарам-представителям
</t>
  </si>
  <si>
    <t>Произведено продукции в натуральном выражении</t>
  </si>
  <si>
    <t>№ п/п</t>
  </si>
  <si>
    <t>Число действующих микропредприятий - всего</t>
  </si>
  <si>
    <t>Уд. вес выручки предприятий малого бизнеса (с учетом микропредприятий) в выручке  в целом по МО</t>
  </si>
  <si>
    <t xml:space="preserve">Фонд начисленной заработной платы по полному кругу организаций, </t>
  </si>
  <si>
    <t>Фонд начисленной заработной платы работников малых предприятий (с учетом микропредприятий)</t>
  </si>
  <si>
    <t>Среднемесячная начисленная заработная плата (без выплат социального характера) по полному кругу организаций,</t>
  </si>
  <si>
    <t xml:space="preserve">Выручка от реализации продукции, работ, услуг (в действующих ценах) по полному кругу организаций, </t>
  </si>
  <si>
    <t xml:space="preserve">Выручка от реализации продукции, работ, услуг (в действующих ценах) предприятий малого бизнеса (с учетом микропредприятий) </t>
  </si>
  <si>
    <t>Уд. вес выручки предприятий микропредприятий в выручке  в целом по МО</t>
  </si>
  <si>
    <t>Фонд начисленной заработной платы работников сельского хозяйства</t>
  </si>
  <si>
    <t>Наименование проекта</t>
  </si>
  <si>
    <t>Инвестор</t>
  </si>
  <si>
    <t>Объем инвестиций, млн.руб.</t>
  </si>
  <si>
    <t>Выручка от реализации продукции, работ, услуг, млн.руб.</t>
  </si>
  <si>
    <t xml:space="preserve">Выпуск продукции в натуральном выражении
 (в соотв. ед.) 
</t>
  </si>
  <si>
    <t>Количество ежегодно создаваемых новых рабочих мест, ед.</t>
  </si>
  <si>
    <t>Наименование 
городского (сельского) поселения и населенного пункта на территории которого предполагается реализация инвестпроекта</t>
  </si>
  <si>
    <t>и т.д.</t>
  </si>
  <si>
    <t>продукция 
№ 1</t>
  </si>
  <si>
    <t>продукция 
№ 2</t>
  </si>
  <si>
    <t>продукция № 3</t>
  </si>
  <si>
    <t xml:space="preserve">Период реализации проекта </t>
  </si>
  <si>
    <t>Экономи-
ческий эффект (прибыль), млн. руб.</t>
  </si>
  <si>
    <t xml:space="preserve">Демография, трудовые ресурсы и уровень жизни населения </t>
  </si>
  <si>
    <t>Численность постоянного населения - всего</t>
  </si>
  <si>
    <t>Уровень регистрируемой безработицы (к трудоспособному населению)</t>
  </si>
  <si>
    <t>Фонд начисленной заработной платы работников бюджетной сферы</t>
  </si>
  <si>
    <t>Прибыль прибыльных предприятий (с учетом предприятий малого бизнеса)</t>
  </si>
  <si>
    <t>Наименование поселения</t>
  </si>
  <si>
    <t>Фонд оплаты труда, млн. руб.</t>
  </si>
  <si>
    <t>Среднесписочная численность работающих, чел.</t>
  </si>
  <si>
    <t>Выручка от реализации товаров (работ, услуг), млн. руб.</t>
  </si>
  <si>
    <t>* В целом по муниципальному району заполняется сумма показателей по городским и сельским поселениям. Значение каждого показателя в целом по району должны соответствовать значению показателя указанному в сводной форме "Прогноза".</t>
  </si>
  <si>
    <t>ИТОГО по району*</t>
  </si>
  <si>
    <t>Индивидуальные предприниматели</t>
  </si>
  <si>
    <t>Малые предприятия</t>
  </si>
  <si>
    <t>Микропредприятия</t>
  </si>
  <si>
    <t>Валовый совокупный доход (сумма ФОТ, выплат соцхарактера, прочих доходов)</t>
  </si>
  <si>
    <t>Земельный налог</t>
  </si>
  <si>
    <t>Налог на имущество физических лиц</t>
  </si>
  <si>
    <t>Налог, взимаемый в связи с применением патентной системы налогообложения</t>
  </si>
  <si>
    <t>1. Налог на доходы физических лиц</t>
  </si>
  <si>
    <t>2. Налоги на имущество:</t>
  </si>
  <si>
    <t>Доходный потенциал (объем налогов, формируемых на территории) - всего:</t>
  </si>
  <si>
    <t>Число безработных граждан, чел.</t>
  </si>
  <si>
    <t>Количество субъектов малого и среднего предпринимательства (ед.):</t>
  </si>
  <si>
    <t>Доходный потенциал территориии</t>
  </si>
  <si>
    <t>3. Налоги со специальным режимом:</t>
  </si>
  <si>
    <t>ВСЕГО ПО ПОСЕЛЕНИЮ</t>
  </si>
  <si>
    <t>Потенциал поступлений земельного налога</t>
  </si>
  <si>
    <t>из них по категориям работников:</t>
  </si>
  <si>
    <t>кадастровая стоимость земельных участков,
 признаваемых объектом налогообложения-всего</t>
  </si>
  <si>
    <t>Общая инвентаризационная стоимость объектов налогообложения</t>
  </si>
  <si>
    <t>Число предприятий, зарегистрированных на территории МО - всего, 
ед.</t>
  </si>
  <si>
    <t>в том числе по видам деятельности:</t>
  </si>
  <si>
    <t>Число муниципальных учреждений, ед.</t>
  </si>
  <si>
    <t xml:space="preserve">Дошкольное образование </t>
  </si>
  <si>
    <t>Основное общее и среднее (полное) общее образование</t>
  </si>
  <si>
    <t>Дополнительное образование детей</t>
  </si>
  <si>
    <t>Деятельность в области спорта</t>
  </si>
  <si>
    <t>Прочая деятельность в области культуры</t>
  </si>
  <si>
    <t>наименование и местоположение предприятия  (по месту регистрации)</t>
  </si>
  <si>
    <t>численность работников, чел.</t>
  </si>
  <si>
    <t>Сельское 
хозяйство</t>
  </si>
  <si>
    <t>Промыш-
ленность</t>
  </si>
  <si>
    <t>Лесо-
заготовки</t>
  </si>
  <si>
    <t>Строи-
тельство</t>
  </si>
  <si>
    <r>
      <t>Основные сведения 
о градообразующем предприятии
(</t>
    </r>
    <r>
      <rPr>
        <b/>
        <sz val="14"/>
        <rFont val="Times New Roman"/>
        <family val="1"/>
        <charset val="204"/>
      </rPr>
      <t>КРИТЕРИИ</t>
    </r>
    <r>
      <rPr>
        <sz val="14"/>
        <rFont val="Times New Roman"/>
        <family val="1"/>
        <charset val="204"/>
      </rPr>
      <t xml:space="preserve"> установлены ст. 169 ФЗ №127 
"О несостоятельности (банкротстве)": численность работников организаций свыше 5 тыс. чел. либо составляет не менее 25% численности работающего населения соответствующего населенного пункта)</t>
    </r>
  </si>
  <si>
    <t>Прогноз индекса производства</t>
  </si>
  <si>
    <t xml:space="preserve">Сельское, лесное хозяйство, охота, рыбаловство и рыбоводство, в том числе </t>
  </si>
  <si>
    <t>Растениеводство и животноводство, охота и предоставление соответствующих услуг в этих областях</t>
  </si>
  <si>
    <t>Лесоводство и лесозаготовки</t>
  </si>
  <si>
    <t>Рыболовство и рыбоводство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</si>
  <si>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</si>
  <si>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</si>
  <si>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Торговля оптовая и розничная; ремонт автотранспортных средств и мотоциклов </t>
  </si>
  <si>
    <t xml:space="preserve">Промышленное производство: </t>
  </si>
  <si>
    <t>Объем отгруженных товаров собственного производства, выполненных работ и услуг (В+C+D+E)</t>
  </si>
  <si>
    <t>Добыча полезных ископаемых (В):</t>
  </si>
  <si>
    <t xml:space="preserve">Объем отгруженных товаров собственного производства, выполненных работ и услуг </t>
  </si>
  <si>
    <t>Обрабатывающие производства (С):</t>
  </si>
  <si>
    <t>Обеспечение электрической энергией, газом и паром; кондиционирование воздуха (D):</t>
  </si>
  <si>
    <t>Объем отгруженных товаров собственного производства, выполненных работ и услуг</t>
  </si>
  <si>
    <t>Водоснабжение; водоотведение, организация сбора и утилизации отходов, деятельность по ликвидации загрязнений  (Е):</t>
  </si>
  <si>
    <t>Сельское, лесное хозяйство, охота, рыбаловство и рыбоводство:</t>
  </si>
  <si>
    <t>Индекс производства продукции в сельхозорганизациях</t>
  </si>
  <si>
    <t>Строительство:</t>
  </si>
  <si>
    <t>Объем работ</t>
  </si>
  <si>
    <t>Транспортировка и хранение:</t>
  </si>
  <si>
    <t>Грузооборот</t>
  </si>
  <si>
    <t>тыс.т/км</t>
  </si>
  <si>
    <t>Пассажирооборот</t>
  </si>
  <si>
    <t>тыс. пас/км</t>
  </si>
  <si>
    <t>Торговля оптовая и розничная; ремонт автотранспортных средств и мотоциклов</t>
  </si>
  <si>
    <t>Число действующих малых предприятий - всего</t>
  </si>
  <si>
    <t>Добыча прочих полезных ископаемых</t>
  </si>
  <si>
    <t>Гипс,тыс.т</t>
  </si>
  <si>
    <t xml:space="preserve"> Доломит некальцинированный, тыс.т</t>
  </si>
  <si>
    <t>Пески природные,Тыс. куб.м</t>
  </si>
  <si>
    <t>Гранулы каменные, крошка и порошок,Тыс. куб.м</t>
  </si>
  <si>
    <t>Гравий,Тыс. куб.м</t>
  </si>
  <si>
    <t>Щебень,Тыс. куб.м</t>
  </si>
  <si>
    <t>Камень природный дробленный,Тыс. куб.м</t>
  </si>
  <si>
    <t>Смеси песчано-гравийные,Тыс. куб.м</t>
  </si>
  <si>
    <t>Транспортировка и хранение</t>
  </si>
  <si>
    <t>Деятельность в области информации и связи</t>
  </si>
  <si>
    <t>Деятельность в области спорта, отдыха и развлечений</t>
  </si>
  <si>
    <t>Мясо крупного рогатого скота (говядина и телятина) парное, остывшее или охлажденное, в том числе для детского питания,т</t>
  </si>
  <si>
    <t>Свинина парная, остывшая или охлажденная, в том числе для детского питания,т</t>
  </si>
  <si>
    <t>Конина и мясо прочих животных семейства лошадиных парные, остывшие или охлажденные, в том числе для детского питания,т</t>
  </si>
  <si>
    <t>Субпродукты пищевые крупного рогатого скота, свиные, бараньи, козьи, лошадей, ослов, мулов, лошаков и прочих животных семейства лошадиных, оленьи и прочих животных семейства оленьих (оленевых) парные, остывшие или охлажденные, в том числе для детского пит,т</t>
  </si>
  <si>
    <t>Мясо крупного рогатого скота (говядина и телятина) замороженное, в том числе для детского питания,т</t>
  </si>
  <si>
    <t>Мясо лошадей (конина, жеребятина) и прочих животных семейства лошадиных замороженное, в том числе для детского питания,т</t>
  </si>
  <si>
    <t>Мясо и субпродукты пищевые прочие парные, остывшие, охлажденные или замороженные,т</t>
  </si>
  <si>
    <t>Жиры крупного рогатого скота, овец, коз и свиней,т</t>
  </si>
  <si>
    <t>Мясо птицы охлажденное, в том числе для детского питания,т</t>
  </si>
  <si>
    <t>Мясо сельскохозяйственной птицы замороженное, в том числе для детского питания,т</t>
  </si>
  <si>
    <t>Субпродукты сельскохозяйственной птицы пищевые, в том числе для детского питания,т</t>
  </si>
  <si>
    <t>Свинина соленая, в рассоле, копченая, сушеная (в том числе сублимационной сушки),т</t>
  </si>
  <si>
    <t>Мясо крупного рогатого скота соленое, в рассоле, копченое, сушеное (в том числе сублимационной сушки),т</t>
  </si>
  <si>
    <t>Мясо и мясные пищевые субпродукты прочие, соленые, в рассоле, копченые, сушеные (в том числе сублимационной сушки) (кроме мяса свиней и крупного рогатого скота); мясо птицы сухое, мука тонкого и грубого помола из мяса и мясных субпродуктов, пригодная для,т</t>
  </si>
  <si>
    <t>Изделия колбасные вареные, в том числе фаршированные,т</t>
  </si>
  <si>
    <t>Изделия колбасные кровяные,т</t>
  </si>
  <si>
    <t>Изделия колбасные копченые,т</t>
  </si>
  <si>
    <t>Изделия колбасные из термически обработанных ингредиентов,т</t>
  </si>
  <si>
    <t>Полуфабрикаты мясные, мясосодержащие, охлажденные, замороженные,т</t>
  </si>
  <si>
    <t>Изделия кулинарные мясные, мясосодержащие и из мяса и субпродуктов птицы охлажденные, замороженные,т</t>
  </si>
  <si>
    <t>Мука тонкого и грубого помола и гранулы из мяса или мясных субпродуктов, не пригодные для употребления в пищу,т</t>
  </si>
  <si>
    <t>Рыба и филе рыбное холодного копчения,т</t>
  </si>
  <si>
    <t>Рыба и филе рыбное горячего копчения,т</t>
  </si>
  <si>
    <t>Продукты готовые из рыбы прочие, не включенные в другие группировки,т</t>
  </si>
  <si>
    <t>Овощи (кроме картофеля) и грибы сушеные,т</t>
  </si>
  <si>
    <t>Овощи (кроме картофеля) и грибы, консервированные без уксуса или уксусной кислоты, прочие (кроме готовых овощных блюд),тыс.банок усл.</t>
  </si>
  <si>
    <t>Овощи (кроме картофеля), фрукты, орехи и прочие съедобные части растений, переработанные или консервированные с уксусом или уксусной кислотой,тыс.банок усл.</t>
  </si>
  <si>
    <t>Масло соевое и его фракции нерафинированные,т</t>
  </si>
  <si>
    <t>Масло подсолнечное и его фракции нерафинированные,т</t>
  </si>
  <si>
    <t>Масло рапсовое и его фракции нерафинированные,т</t>
  </si>
  <si>
    <t>Жмых и прочие твердые остатки растительных жиров или масел,т</t>
  </si>
  <si>
    <t>Масло соевое и его фракции рафинированные, но не подвергнутые химической модификации,т</t>
  </si>
  <si>
    <t>Масло подсолнечное и его фракции рафинированные, но не подвергнутые химической модификации,т</t>
  </si>
  <si>
    <t>Жиры и масла животные и растительные и их фракции гидрогенизированные и переэтерифицированные, но без дальнейшей обработки,т</t>
  </si>
  <si>
    <t>Маргарин,т</t>
  </si>
  <si>
    <t>Спреды растительно-сливочные, растительно-жировые,т</t>
  </si>
  <si>
    <t>Смеси топленые растительно-сливочные, растительно-жировые,т</t>
  </si>
  <si>
    <t>Жиры специального назначения,т</t>
  </si>
  <si>
    <t>Молоко, кроме сырого,т</t>
  </si>
  <si>
    <t>Сливки,т</t>
  </si>
  <si>
    <t>Масло сливочное,т</t>
  </si>
  <si>
    <t>Спреды и смеси топленые сливочно-растительные,т</t>
  </si>
  <si>
    <t>Сыры,т</t>
  </si>
  <si>
    <t>Творог,т</t>
  </si>
  <si>
    <t>Молоко и сливки, сгущенные или с добавками сахара или других подслащивающих веществ, не сухие,тыс.банок усл.</t>
  </si>
  <si>
    <t>Продукты кисломолочные (кроме сметаны),т</t>
  </si>
  <si>
    <t>Сметана,т</t>
  </si>
  <si>
    <t>Сыворотка,т</t>
  </si>
  <si>
    <t>Напитки молочные,т</t>
  </si>
  <si>
    <t>Продукты на основе творога,т</t>
  </si>
  <si>
    <t>Мороженое,т</t>
  </si>
  <si>
    <t>Мука пшеничная и пшенично-ржаная,т</t>
  </si>
  <si>
    <t>Мука из прочих зерновых культур,т</t>
  </si>
  <si>
    <t>Крупа, мука грубого помола и гранулы из зерновых культур, не включенные другие группировки,т</t>
  </si>
  <si>
    <t>Изделия хлебобулочные недлительного хранения,т</t>
  </si>
  <si>
    <t>Изделия мучные кондитерские, торты и пирожные недлительного хранения,т</t>
  </si>
  <si>
    <t>Хлебцы хрустящие, сухари, гренки и аналогичные обжаренные продукты,т</t>
  </si>
  <si>
    <t>Печенье и пряники имбирные и аналогичные изделия; печенье сладкое; вафли и вафельные облатки; торты и пирожные длительного хранения,т</t>
  </si>
  <si>
    <t>Изделия хлебобулочные сухие прочие или хлебобулочные изделия длительного хранения,т</t>
  </si>
  <si>
    <t>Изделия макаронные и аналогичные мучные изделия,т</t>
  </si>
  <si>
    <t>Кетчуп и соусы томатные прочие,тыс.банок усл.</t>
  </si>
  <si>
    <t>Майонезы,т</t>
  </si>
  <si>
    <t>Соусы майонезные,т</t>
  </si>
  <si>
    <t>Горчица готовая,т</t>
  </si>
  <si>
    <t>Соль пищевая,т</t>
  </si>
  <si>
    <t>Продукты пищевые готовые и блюда,т</t>
  </si>
  <si>
    <t>Молоко питьевое для детского питания пастеризованное, стерилизованное и ультрапастеризованное (ультравысокотемпературно-обработанное), в том числе обогащенное,т</t>
  </si>
  <si>
    <t>Смеси молочные и продукты в жидкой форме для детей раннего возраста,т</t>
  </si>
  <si>
    <t>Яйца без скорлупы и желтки яичные, свежие или консервированные; яйца в скорлупе консервированные или вареные; белок яичный,т</t>
  </si>
  <si>
    <t>Продукты пищевые из муки, крупы, крахмала (кроме детского питания),т</t>
  </si>
  <si>
    <t>Корма животные сухие,т</t>
  </si>
  <si>
    <t>Комбикорма,т</t>
  </si>
  <si>
    <t>Корма для сельскохозяйственных животных прочие,т</t>
  </si>
  <si>
    <t>Концентраты и смеси кормовые,т</t>
  </si>
  <si>
    <t>Производство напитков</t>
  </si>
  <si>
    <t>Водка,Тысяча декалитров</t>
  </si>
  <si>
    <t>Пиво, кроме отходов пивоварения,Тысяча декалитров</t>
  </si>
  <si>
    <t>Солод,т</t>
  </si>
  <si>
    <t>Воды минеральные природные питьевые,Тысяча полулитров</t>
  </si>
  <si>
    <t>Воды питьевые, в том числе газированные, расфасованные в емкости, не содержащие добавки сахара или других подслащивающих или вкусоароматических веществ,Тысяча полулитров</t>
  </si>
  <si>
    <t>тыс. банок</t>
  </si>
  <si>
    <t>Тыс. декалитров</t>
  </si>
  <si>
    <t>Тысяча полулитров</t>
  </si>
  <si>
    <t>Обеспечение электрической энергией, газом и паром; кондиционирование воздуха (раздел D)</t>
  </si>
  <si>
    <t xml:space="preserve"> Добыча полезных ископаемых (Раздел В)</t>
  </si>
  <si>
    <t xml:space="preserve"> Обрабатывающие производства (Раздел  С)</t>
  </si>
  <si>
    <t>Электроэнергия,Гигаватт-час (миллион киловатт-часов)</t>
  </si>
  <si>
    <t>Энергия тепловая, отпущенная тепловыми электроцентралями (ТЭЦ),Тысяча гигакалорий</t>
  </si>
  <si>
    <t>Энергия тепловая, отпущенная промышленными утилизационными установками,Тысяча гигакалорий</t>
  </si>
  <si>
    <t>Энергия тепловая, отпущенная котельными,Тысяча гигакалорий</t>
  </si>
  <si>
    <t>Тысяча гигакалорий</t>
  </si>
  <si>
    <t>Итого по промышленному производству (сумма разделов  В+C+D)</t>
  </si>
  <si>
    <t>Растениеводство и животноводство</t>
  </si>
  <si>
    <t>Деятельность в области культуры, спорта, организации досуга и развлечений, в том числе:</t>
  </si>
  <si>
    <t>**) индекс производства продукции расчитывается по разделам видов экономической деятельности и в целом по промышленности, лесозаготовкам, с/х</t>
  </si>
  <si>
    <t>Объем отгруженных товаров собственного производства, выполненных работ и услуг собственными силами (В+С+D+E):</t>
  </si>
  <si>
    <t xml:space="preserve">Сельское, лесное хозяйство, охота, рыболовство и рыбоводство, в том числе </t>
  </si>
  <si>
    <t>Индекс промышленного производства (В+C+D+E)</t>
  </si>
  <si>
    <t>2022 г.</t>
  </si>
  <si>
    <t>2023 г.</t>
  </si>
  <si>
    <t>2024 г.</t>
  </si>
  <si>
    <t xml:space="preserve">Прочие 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</si>
  <si>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</si>
  <si>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</si>
  <si>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Государственное управление</t>
  </si>
  <si>
    <t>Байкальское городское поселение</t>
  </si>
  <si>
    <t xml:space="preserve"> Строительство завода по глубокой переработке недревесной продукции леса</t>
  </si>
  <si>
    <t>ООО "Травы Байкала"</t>
  </si>
  <si>
    <t>экстракты(т)</t>
  </si>
  <si>
    <t>чайная продукция     (тыс.шт.)</t>
  </si>
  <si>
    <t xml:space="preserve">строительство завода по розливу воды и производству напитков </t>
  </si>
  <si>
    <t>ООО "Полезные напитки"      учредитель            Хорошутина Людмила Георгиевна</t>
  </si>
  <si>
    <t>Создание индустриального парка "Байкальский чистый продукт"</t>
  </si>
  <si>
    <t>Министерство экономического развития Иркутской области, 
АО "Корпорация развития Иркутской области"</t>
  </si>
  <si>
    <t>промплощадка ОАО "БЦБК" в г. Байкальске. Общая площадь: 305 га. Вид использования: для строительства промышленных предприятий</t>
  </si>
  <si>
    <t>Создание особой экономической зоны туристско-рекреационного типа "Ворота Байкала"
(далее - ОЭЗ)*</t>
  </si>
  <si>
    <t xml:space="preserve">  ГП Иркутской области "Государственная поддержка приоритетных отраслей экономики", частные инвесторы</t>
  </si>
  <si>
    <t>Создание коммунальной инфраструктуры: тепло - 32200 Гкал/год, вода - 2000 куб.м/день, э/энергия 20 МВт, телекоммуникации -  210 Мбит/сек., 
14 гостиниц, 112 коттеджей, 4,8 тыс. мест размещения</t>
  </si>
  <si>
    <t>Проданные номера, ед.</t>
  </si>
  <si>
    <t>Проходы, чел.</t>
  </si>
  <si>
    <t>Создание безотходной, экологически безопасной системы обращения с отходами в поселениях Юго-западного побережья озера Байкал с устройством мусороперерабатывающей станции по японской технологии (Байкальск)</t>
  </si>
  <si>
    <t>ООО "Экология Байкала" Сафонов Владимир Кириллович</t>
  </si>
  <si>
    <t xml:space="preserve">Создание  мусороперерабатывающей станции в г. Байкальске, в рамках государственно-частного партнерства на нежилое здание (бывшее здание цеха обезвоживания осадка БЦБК) расположенное по адресу: Иркутская область, Слюдянский район, г. Байкальск, Промплощадка, Центр, площадью 1434 кв. м., на базе которого будет создана мусороперерабатывающая  станция , и земельный участок  площадью до 10 Га.
</t>
  </si>
  <si>
    <t>Содействие реализации инвестиционного проекта ООО "Озеро Байкал " по строительству второй очереди завода по розливу питьевой бутилированной воды</t>
  </si>
  <si>
    <t>ООО "Озеро Байкал " Магер Алексей Николаевич</t>
  </si>
  <si>
    <t>строительство второй очереди завода по розливу питьевой бутилированной воды</t>
  </si>
  <si>
    <t>Строительство сауно-банного комплекса "Байкальские термы" (Байкальск)</t>
  </si>
  <si>
    <t>ООО ТФК "Байкальский бриз"</t>
  </si>
  <si>
    <t>Строительство сауно-банного комплекса</t>
  </si>
  <si>
    <t>Строительство транспортно-пересадочного узла (Байкальск)</t>
  </si>
  <si>
    <t>ООО "Архитектура"</t>
  </si>
  <si>
    <t>строительство пассажирского комплекса, выполняющего  функции по перераспределению пассажиропотоков между видами транспорта и направлениями движения.</t>
  </si>
  <si>
    <t xml:space="preserve">Содействие реализации инвестиционного проекта по созданию в г. Байкальске территории  «Байкальский квартал»  </t>
  </si>
  <si>
    <t xml:space="preserve">Г П Российской Федерации «Экономическое развитие и инновационная экономика» утвержденной постановлением Правительства Российской Федерации от 15 апреля 2014 года № 316 (далее – Госпрограмма). </t>
  </si>
  <si>
    <t xml:space="preserve">"Байкальский  квартал"-  туристическое пространство со своей инфраструктурой – зонами отдыха и развлечений, кафе, магазинами, ресторанами. </t>
  </si>
  <si>
    <t>разработан проект строительства спортивного ядра с физкультурно-оздоровительным комплексом для дополнительного образования детей и взрослых</t>
  </si>
  <si>
    <t xml:space="preserve">Строительство   объекта </t>
  </si>
  <si>
    <t>Строительство стадиона Победы</t>
  </si>
  <si>
    <t>МП "Формирование современной городской среды на территории Байкальского муниципального образования на 2018-2024годы" Частный инвестор</t>
  </si>
  <si>
    <t>Разработка ПСД</t>
  </si>
  <si>
    <t>Прохождение экологической и строительной экспертизы</t>
  </si>
  <si>
    <t xml:space="preserve">Строительство велолыжероллерной трассы </t>
  </si>
  <si>
    <t>Отработана гомологация предполагаемой трассы с Федерацией лыжных гонок России</t>
  </si>
  <si>
    <t>Реконструкция канализационных очистных сооружений   в г.Байкальске</t>
  </si>
  <si>
    <t>ФЦП «Охрана оз. Байкал и социально-экономическое развитие Байкальской природной территории»ГП "Охрана окружающей среды 2014-2024годы</t>
  </si>
  <si>
    <t>Реконструкция ТЭЦ БЦБК для обеспечения эффективного теплоснабжения г. Байкальска после закрытия ОАО "БЦБК"</t>
  </si>
  <si>
    <t>ФЦП «Охрана оз. Байкал и социально-экономическое развитие Байкальской природной территории»</t>
  </si>
  <si>
    <t xml:space="preserve">Объект реконструкции будет располагаться на земельном участке с кадастровым номером – 38:25020103:570 площадью             138 378 кв.м.
</t>
  </si>
  <si>
    <t xml:space="preserve">Реконструкция осуществляется на площадке существующей ТЭЦ г. Байкальска. В проекте реконструкции предусмотрено следующее:
- комплекс реконструируемых и вновь возводимых зданий и сооружений источника теплоснабжения располагается в пределах площадки ТЭЦ с максимальным использованием существующей инженерной инфраструктуры. В состав основных объектов реконструкции системы теплоснабжения входят здание котельной со вспомогательными объектами;
- в целях экономии средств, предусмотрена возможность использования существующих зданий и сооружений ТЭЦ города Байкальска;
- схема работы котельной обеспечивает отпуск тепла при последующей реконструкции тепловых сетей и переходе на закрытую систему ГВС. Предусмотрена возможность эксплуатации с существующей тепловой сетью и открытой системой ГВС;
- проектом предусмотрено использование существующей инфраструктуры транспортировки и складирования резервного топлива;
</t>
  </si>
  <si>
    <t xml:space="preserve"> проектом предусмотрена реконструкция безъемкостного разгрузочного устройства действующей ТЭЦ, галерей конвейеров 1А, Б, узла пересыпки №1 и замена всего оборудования, находящихся в этих сооружениях;
- проектом установлена производительность котельной 80 Гкал/час.
В качестве основного топлива в котельной используется древесная щепа и пеллеты. Резервное топливо угли различного качества, преимущественно бурый уголь. Растопочное топливо – дизельное.
</t>
  </si>
  <si>
    <t xml:space="preserve">Первоочередные мероприятия по подготовке к отопительному сезону  ТЭЦ г. Байкальска </t>
  </si>
  <si>
    <t>Государственная программа Иркутской области «Развитие жилищно-коммунального хозяйства Иркутской области» на 2014-2024 годы</t>
  </si>
  <si>
    <t xml:space="preserve">Переселение граждан из аварийного жилищного фонда г. Байкальска </t>
  </si>
  <si>
    <t xml:space="preserve">МАП "Переселение граждан, проживающих на территории Байкальского муниципального образования , из аварийного жилищного фонда,  в 2019-2025 годах 
Региональная адресная программа "Переселение граждан, проживающих на территории Иркутской области , из аварийного жилищного фонда, признанного  таковым до 01 января 2017 года  в 2019-2025 годах </t>
  </si>
  <si>
    <t>Капитальный ремонт  общего имущества многоквартирных домов на территории Байкальского городского поселения</t>
  </si>
  <si>
    <t>РП "Капитальный ремонт общего имущества многоквартирных домов на территории Иркутской области 2014-2043гг</t>
  </si>
  <si>
    <t xml:space="preserve">определение  видов работ капитального ремонта </t>
  </si>
  <si>
    <t>Благоустройство дворовых территорий Байкальского муниципального образования</t>
  </si>
  <si>
    <t>МП "Формирование современной городской среды на территории Байкальского муниципального образования на 2018-2024годы"</t>
  </si>
  <si>
    <t>Благоустройство муниципальных территорий общего пользования Байкальского муниципального образования</t>
  </si>
  <si>
    <t xml:space="preserve">ведутся работы по  благоустройству </t>
  </si>
  <si>
    <t>Разработка проектной документации по строительству объекта:Электроснабжение садоводческих некоммерческих товариществ,расположенных на территории Байкальского муниципального образования (СНТ Бабха-1,СНТ Бабха-2,СНТ Солзан,СНТ Южный,СНТ Горный Байкал,СНТ Строитель)</t>
  </si>
  <si>
    <t>Организация размещения взлетно-посадочной площадки в г. Байкальске (малая авиация)</t>
  </si>
  <si>
    <t xml:space="preserve">Муниципальное образование Байкальское городское поселение,Министерство экономического развития Иркутской области
Муниципальное образование Слюдянский район,
Министерство имущественных отношений Иркутской области
</t>
  </si>
  <si>
    <t>разработка ПСД</t>
  </si>
  <si>
    <t>прохождение экологической и строительной экспертизы</t>
  </si>
  <si>
    <t>Организация размещения площадки под причаливание судов на воздушной подушке</t>
  </si>
  <si>
    <t>Строительство экологических троп и туристских маршрутов, смотровых площадок</t>
  </si>
  <si>
    <t xml:space="preserve">Постановление правительства Российской Федерации № 1619 от 7.12.2019 года,Муниципальное образование Байкальское городское поселение,
Муниципальное образование Слюдянский район, Министерство сельского хозяйства Иркутской области, Агентство по туризму Иркутской области
</t>
  </si>
  <si>
    <t>Реализация комплекса мероприятий по развитию агротуризма(создание плодово-ягодных садов в местности Утулик-Байкальск)</t>
  </si>
  <si>
    <t>создание плодово-ягодных садов в местности Утулик-Байкальск</t>
  </si>
  <si>
    <t>Развитие аквакультуры на территории г.Байкальска            (разведение  Байкальского осетра)</t>
  </si>
  <si>
    <t xml:space="preserve">Правительство РФ,  на основании протокола  от 02.03.2020г №ВА-П11-15пр ,ФЦП «Охрана оз. Байкал и социально-экономическое развитие Байкальской природной территории», ГП "Охрана окружающей среды" на 2014-2024 годы
</t>
  </si>
  <si>
    <t>Создание городского пляжа "Красный ключ"</t>
  </si>
  <si>
    <t xml:space="preserve">МП "Формирование современной городской среды на территории Байкальского муниципального образования на 2018-2024годы"
</t>
  </si>
  <si>
    <t>Рекомендуется выделять на береговой зоне следующие зоны:
- входную,
- зону озеленения,
- зону отдыха,
- зону обслуживания,
- спортивную зону,
- детский сектор и др.</t>
  </si>
  <si>
    <t>Прохождение экологической  экспертизы</t>
  </si>
  <si>
    <t>Создание городского пляжа</t>
  </si>
  <si>
    <t>Реализация мероприятий по ликвидации негативного воздействия отходов, накопленных в результате деятельности ОАО "БЦБК"</t>
  </si>
  <si>
    <t xml:space="preserve">ФЦП «Охрана оз. Байкал и социально-экономическое развитие Байкальской природной территории»
ГП "Охрана окружающей среды" 
на 2014-2024 годы
</t>
  </si>
  <si>
    <t xml:space="preserve">Правительство РФ назначило ФГУП «Федеральный экологический оператор» единственным исполнителем работ по ликвидации отходов ОАО «БЦБК» 
Таким образом, все работы, связанные с подготовкой проекта, необходимой проектной документации, дальнейшей ликвидацией вреда окружающей среде, который образовался в результате многолетней работы Байкальского ЦБК, будет исполнять ФГУП "Федеральный экологический оператор" (подразделение Госкорпорации "Росатом")
</t>
  </si>
  <si>
    <t>Слюдянское городское поселение</t>
  </si>
  <si>
    <t>Стротельство гостевой усадьбы</t>
  </si>
  <si>
    <t>АО Дорожник</t>
  </si>
  <si>
    <t>Стротельство семейного эколого-просветительского парка развлечений "Сказки Байкала"</t>
  </si>
  <si>
    <t>администрация Слюдянского городсокго поселения</t>
  </si>
  <si>
    <t>организация смотровых площадок в районе пади Талой-путепровод, поселка Буровщина, участок вдоль федеральной трассы Р-258 мыса Шаманский</t>
  </si>
  <si>
    <t>УПРОДОР «Южный Байкал».</t>
  </si>
  <si>
    <t>информация отсутствует</t>
  </si>
  <si>
    <t>1.Байкальское городское поселение</t>
  </si>
  <si>
    <t>2.Слюдянское городское поселение</t>
  </si>
  <si>
    <t>3.Култукское городское поселение</t>
  </si>
  <si>
    <t>4.Портбайкальское сельское поселение</t>
  </si>
  <si>
    <t>5.Утуликское сельское поселение</t>
  </si>
  <si>
    <t>6.Новоснежнинское сельское поселение</t>
  </si>
  <si>
    <t>7.Быстринское сельское поселение</t>
  </si>
  <si>
    <t>8.Маритуйское сельское поселение</t>
  </si>
  <si>
    <t xml:space="preserve">Объем произведенной продукции в сопоставимых ценах </t>
  </si>
  <si>
    <t>2017 г.</t>
  </si>
  <si>
    <t>14 =
итог гр.10/
итог гр.9
* 100</t>
  </si>
  <si>
    <t>15 =
итог гр.11/
итог гр.10
* 100</t>
  </si>
  <si>
    <t>16 =
итог гр.12/
итог гр.11
* 100</t>
  </si>
  <si>
    <t>17 =
итог гр.13/
итог гр.12
* 100</t>
  </si>
  <si>
    <t>18 =
итог гр.14/
итог гр.13
* 100</t>
  </si>
  <si>
    <r>
      <t xml:space="preserve">Гранит, песчаник и прочий камень для памятников или строительства,тыс.т   </t>
    </r>
    <r>
      <rPr>
        <i/>
        <sz val="20"/>
        <rFont val="Times New Roman"/>
        <family val="1"/>
        <charset val="204"/>
      </rPr>
      <t>(цемсырье)</t>
    </r>
  </si>
  <si>
    <t>байк</t>
  </si>
  <si>
    <t>слюд</t>
  </si>
  <si>
    <t>култ</t>
  </si>
  <si>
    <t>порт</t>
  </si>
  <si>
    <t>утул</t>
  </si>
  <si>
    <t>н.сн</t>
  </si>
  <si>
    <t>быстр</t>
  </si>
  <si>
    <t>марит</t>
  </si>
  <si>
    <t xml:space="preserve">контроль </t>
  </si>
  <si>
    <t>не меняется</t>
  </si>
  <si>
    <t>2025 год</t>
  </si>
  <si>
    <t xml:space="preserve">1 вариант (КОНСЕРВАТИВНЫЙ) </t>
  </si>
  <si>
    <t xml:space="preserve">2 вариант (БАЗОВЫЙ) </t>
  </si>
  <si>
    <t>2025 г.</t>
  </si>
  <si>
    <t>ФОТ %</t>
  </si>
  <si>
    <t>ЗАНЯТЫЕ</t>
  </si>
  <si>
    <t>Строительство    спортивного ядра с физкультурно-оздоровительным комплексом в г. Байкальске</t>
  </si>
  <si>
    <t>МП "Развитие физической культуры и спорта в БГП 2015-2024г., частный инвестор</t>
  </si>
  <si>
    <t>МП "Развитие физической культуры и спорта в БГП 2015-2024г, частный инвестор</t>
  </si>
  <si>
    <t>запланировано переселение 46 человек  площадь 816,3 кв.м</t>
  </si>
  <si>
    <t>запланировано переселение329 человек площадь 5660,9 кв.м</t>
  </si>
  <si>
    <t>запланировано переселение 381 человек  площадь 5864,3 кв.м</t>
  </si>
  <si>
    <t>определены виды работ капитального ремонта в мкр.Южный и мкр.Гагарина</t>
  </si>
  <si>
    <t xml:space="preserve">мкр.Южный, квартал,4 дом 19 ремонт инженерных коммуникаций
мкр.Южный, квартал,4 дом 20 ремонт инженерных коммуникаций
мкр.Южный,квартал,2 дом 40 ремонт кровли
мкр.Гагарина, дом 146 ремонт инженерных коммуникаций
мкр.Гагарина, дом 150 ремонт инженерных коммуникаций
</t>
  </si>
  <si>
    <t xml:space="preserve">выполнение работ по благоустройству территории общего пользования расположенной по адресу: Иркутская область, Слюдянский район, г. Байкальск, мкр. Гагарина, сквер «Целлюлозников», ул. Целлюлозников». </t>
  </si>
  <si>
    <t>частично МП «Формирование современной городской среды на территории Байкальского муниципального образования на 2018-2024годы»</t>
  </si>
  <si>
    <t>Парк строителей КБЖД и набережная Байкала в Слюдянке</t>
  </si>
  <si>
    <t>ОАО "РЖД"</t>
  </si>
  <si>
    <t>Строительство клуба на 250 мест со спортивным залом</t>
  </si>
  <si>
    <t>ВСЕГО ПО РАЙОНУ</t>
  </si>
  <si>
    <t>Факт 
2022 года</t>
  </si>
  <si>
    <t>2026 год</t>
  </si>
  <si>
    <t>Факт 
2022 г.</t>
  </si>
  <si>
    <t>2026 г.</t>
  </si>
  <si>
    <t>Доходы бюджета, тыс. руб.</t>
  </si>
  <si>
    <t>Расходы бюджета, тыс. руб.</t>
  </si>
  <si>
    <t>Строительство и реконструкция КОС в п.Култук, п.Ангасолка</t>
  </si>
  <si>
    <t>ИПЦ</t>
  </si>
  <si>
    <t>реал з/п</t>
  </si>
  <si>
    <r>
      <t xml:space="preserve">В том числе из общей численности работающих численность работников </t>
    </r>
    <r>
      <rPr>
        <i/>
        <sz val="14"/>
        <color rgb="FF7030A0"/>
        <rFont val="Times New Roman"/>
        <family val="1"/>
        <charset val="204"/>
      </rPr>
      <t>бюджетной сферы</t>
    </r>
    <r>
      <rPr>
        <i/>
        <sz val="14"/>
        <rFont val="Times New Roman"/>
        <family val="1"/>
        <charset val="204"/>
      </rPr>
      <t xml:space="preserve">, финансируемой из консолидированного местного бюджета-всего, </t>
    </r>
  </si>
  <si>
    <r>
      <t xml:space="preserve">В том числе из общей численности работающих численность работников </t>
    </r>
    <r>
      <rPr>
        <i/>
        <sz val="14"/>
        <color rgb="FF7030A0"/>
        <rFont val="Times New Roman"/>
        <family val="1"/>
        <charset val="204"/>
      </rPr>
      <t>малых предприятий</t>
    </r>
    <r>
      <rPr>
        <i/>
        <sz val="14"/>
        <rFont val="Times New Roman"/>
        <family val="1"/>
        <charset val="204"/>
      </rPr>
      <t xml:space="preserve"> (с учетом микропредприятий)-всего, </t>
    </r>
  </si>
  <si>
    <r>
      <t xml:space="preserve">Среднесписочная численность работников (без внешних совместителей) по </t>
    </r>
    <r>
      <rPr>
        <b/>
        <i/>
        <sz val="14"/>
        <color rgb="FF7030A0"/>
        <rFont val="Times New Roman"/>
        <family val="1"/>
        <charset val="204"/>
      </rPr>
      <t>полному</t>
    </r>
    <r>
      <rPr>
        <b/>
        <i/>
        <sz val="14"/>
        <rFont val="Times New Roman"/>
        <family val="1"/>
      </rPr>
      <t xml:space="preserve"> кругу организаций,</t>
    </r>
  </si>
  <si>
    <r>
      <t xml:space="preserve">Среднемесячная начисленная заработная плата работников </t>
    </r>
    <r>
      <rPr>
        <i/>
        <sz val="14"/>
        <color rgb="FF7030A0"/>
        <rFont val="Times New Roman"/>
        <family val="1"/>
        <charset val="204"/>
      </rPr>
      <t>бюджетной сферы,</t>
    </r>
    <r>
      <rPr>
        <i/>
        <sz val="14"/>
        <rFont val="Times New Roman"/>
        <family val="1"/>
        <charset val="204"/>
      </rPr>
      <t xml:space="preserve"> финансируемой из консолидированного местного бюджета с учетом "дорожных карт" МО - всего, </t>
    </r>
  </si>
  <si>
    <r>
      <t xml:space="preserve">Среднемесячная начисленная заработная плата работников </t>
    </r>
    <r>
      <rPr>
        <b/>
        <i/>
        <sz val="14"/>
        <color rgb="FF7030A0"/>
        <rFont val="Times New Roman"/>
        <family val="1"/>
        <charset val="204"/>
      </rPr>
      <t xml:space="preserve">малых предприятий </t>
    </r>
    <r>
      <rPr>
        <b/>
        <i/>
        <sz val="14"/>
        <rFont val="Times New Roman"/>
        <family val="1"/>
        <charset val="204"/>
      </rPr>
      <t>(с учетом микропредприятий)</t>
    </r>
  </si>
  <si>
    <t>Дефлятор добыча прочих полез иск.</t>
  </si>
  <si>
    <t>Дефлятор производство пищевых прод,напит</t>
  </si>
  <si>
    <t>Дефлятор электроэн, газ, пар</t>
  </si>
  <si>
    <t>Администрация Култукского городского поселения</t>
  </si>
  <si>
    <t>Култукское городское поселение</t>
  </si>
  <si>
    <t>Факт 
2023 года</t>
  </si>
  <si>
    <t>1 вар (к)</t>
  </si>
  <si>
    <t>2 вар (б)</t>
  </si>
  <si>
    <t>Оценка 
2024 года</t>
  </si>
  <si>
    <t>2027 год</t>
  </si>
  <si>
    <t xml:space="preserve">Прогноз социально-экономического развития Слюдянского муниципального района на 2025 год и плановый период 2026 и 2027 годов  </t>
  </si>
  <si>
    <t>инвестиции темп</t>
  </si>
  <si>
    <t>заменить по сценарным</t>
  </si>
  <si>
    <t>Всего за 2024-2027 гг., 
в т.ч. по годам:</t>
  </si>
  <si>
    <t>Сводный перечень инвестиционных проектов, реализация которых предполагается в 2024-2027 гг. 
Слюдянский муниципальный район
(наименование муниципального района, городского округа)</t>
  </si>
  <si>
    <t>2027 г.</t>
  </si>
  <si>
    <t xml:space="preserve">Приложение № 1 к прогнозу социально-экономического развития Слюдянского муниципального района на 2025 год и плановый период 2026 и 2027 годов </t>
  </si>
  <si>
    <t>Отдельные показатели прогноза развития муниципальных образований поселенческого уровня на 2025-2027 годы*</t>
  </si>
  <si>
    <t>Приложение № 3 к прогнозу социально-экономического развития Слюдянского муниципального района на 2025 год и плановый период 2026 и 2027 годов</t>
  </si>
  <si>
    <t>Факт 
2023 г.</t>
  </si>
  <si>
    <t>Оценка 2024 г.</t>
  </si>
  <si>
    <t>ФОРМУЛЫ! Проверять каждый год</t>
  </si>
  <si>
    <t>ур.безр.=</t>
  </si>
  <si>
    <t>поменять !</t>
  </si>
  <si>
    <t>дельта безраб.24 к безраб 23по цзн</t>
  </si>
  <si>
    <t>Администрацией Слюдянского МО выдано разрешение на строительство 01.04.2021 года. По состоянию на 01.06.2024 года АО "Дорожник" к работам не приступил.</t>
  </si>
  <si>
    <t>Семейная животноводческая ферма</t>
  </si>
  <si>
    <t>ИП Глава КФХ Солдатов А.В.</t>
  </si>
  <si>
    <t>собственные средства, грант</t>
  </si>
  <si>
    <t>Быстринское сельское поселение</t>
  </si>
  <si>
    <t>Приложение № 2 к прогнозу социально-экономического развития Слюдянского муниципального района на 2025 год и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</si>
</sst>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0.0"/>
    <numFmt numFmtId="165" formatCode="0.000"/>
    <numFmt numFmtId="166" formatCode="#,##0.000"/>
    <numFmt numFmtId="167" formatCode="#,##0.0"/>
    <numFmt numFmtId="168" formatCode="#,##0.00_ ;\-#,##0.00\ "/>
    <numFmt numFmtId="169" formatCode="_-* #,##0.0\ _₽_-;\-* #,##0.0\ _₽_-;_-* &quot;-&quot;??\ _₽_-;_-@_-"/>
    <numFmt numFmtId="170" formatCode="_-* #,##0.00\ _₽_-;\-* #,##0.00\ _₽_-;_-* &quot;-&quot;???\ _₽_-;_-@_-"/>
    <numFmt numFmtId="171" formatCode="0.0%"/>
    <numFmt numFmtId="172" formatCode="#,##0.0000"/>
  </numFmts>
  <fonts count="7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b/>
      <i/>
      <sz val="14"/>
      <name val="Times New Roman"/>
      <family val="1"/>
    </font>
    <font>
      <i/>
      <sz val="14"/>
      <name val="Times New Roman"/>
      <family val="1"/>
      <charset val="204"/>
    </font>
    <font>
      <b/>
      <u/>
      <sz val="14"/>
      <name val="Times New Roman"/>
      <family val="1"/>
    </font>
    <font>
      <u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</font>
    <font>
      <sz val="8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  <charset val="204"/>
    </font>
    <font>
      <b/>
      <sz val="22"/>
      <name val="Arial Cyr"/>
      <family val="2"/>
      <charset val="204"/>
    </font>
    <font>
      <b/>
      <sz val="16"/>
      <name val="Arial Cyr"/>
      <family val="2"/>
      <charset val="204"/>
    </font>
    <font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u/>
      <sz val="14"/>
      <name val="Times New Roman"/>
      <family val="1"/>
      <charset val="204"/>
    </font>
    <font>
      <b/>
      <sz val="16"/>
      <name val="Times New Roman"/>
      <family val="1"/>
    </font>
    <font>
      <b/>
      <i/>
      <sz val="12"/>
      <name val="Times New Roman"/>
      <family val="1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Arial Cyr"/>
      <charset val="204"/>
    </font>
    <font>
      <i/>
      <sz val="12"/>
      <name val="Times New Roman"/>
      <family val="1"/>
      <charset val="204"/>
    </font>
    <font>
      <b/>
      <sz val="20"/>
      <name val="Times New Roman"/>
      <family val="1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Times New Roman CYR"/>
      <charset val="204"/>
    </font>
    <font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20"/>
      <name val="Times New Roman"/>
      <family val="1"/>
      <charset val="204"/>
    </font>
    <font>
      <b/>
      <sz val="20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4"/>
      <name val="Times"/>
      <family val="1"/>
    </font>
    <font>
      <sz val="11"/>
      <name val="Times New Roman"/>
      <family val="1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20"/>
      <color theme="0"/>
      <name val="Times New Roman"/>
      <family val="1"/>
      <charset val="204"/>
    </font>
    <font>
      <sz val="14"/>
      <color theme="0" tint="-0.34998626667073579"/>
      <name val="Times New Roman"/>
      <family val="1"/>
      <charset val="204"/>
    </font>
    <font>
      <sz val="10"/>
      <color theme="0" tint="-0.34998626667073579"/>
      <name val="Arial Cyr"/>
      <charset val="204"/>
    </font>
    <font>
      <i/>
      <sz val="14"/>
      <color rgb="FF7030A0"/>
      <name val="Times New Roman"/>
      <family val="1"/>
      <charset val="204"/>
    </font>
    <font>
      <b/>
      <i/>
      <sz val="14"/>
      <color rgb="FF7030A0"/>
      <name val="Times New Roman"/>
      <family val="1"/>
      <charset val="204"/>
    </font>
    <font>
      <i/>
      <sz val="14"/>
      <name val="Times"/>
      <family val="1"/>
    </font>
    <font>
      <b/>
      <sz val="11"/>
      <name val="Times New Roman"/>
      <family val="1"/>
      <charset val="204"/>
    </font>
    <font>
      <sz val="14"/>
      <color theme="0" tint="-0.34998626667073579"/>
      <name val="Arial Cyr"/>
      <charset val="204"/>
    </font>
    <font>
      <b/>
      <sz val="10"/>
      <color theme="0" tint="-0.34998626667073579"/>
      <name val="Arial Cyr"/>
      <charset val="204"/>
    </font>
    <font>
      <b/>
      <sz val="14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sz val="14"/>
      <color theme="0" tint="-0.34998626667073579"/>
      <name val="Arial Cyr"/>
      <charset val="204"/>
    </font>
    <font>
      <b/>
      <sz val="12"/>
      <color theme="0" tint="-0.34998626667073579"/>
      <name val="Arial Cyr"/>
      <charset val="204"/>
    </font>
    <font>
      <b/>
      <sz val="12"/>
      <color theme="0" tint="-0.34998626667073579"/>
      <name val="Times New Roman"/>
      <family val="1"/>
    </font>
    <font>
      <sz val="18"/>
      <color theme="0" tint="-0.34998626667073579"/>
      <name val="Arial Cyr"/>
      <charset val="204"/>
    </font>
    <font>
      <sz val="14"/>
      <color theme="0" tint="-0.34998626667073579"/>
      <name val="Times New Roman"/>
      <family val="1"/>
    </font>
    <font>
      <sz val="12"/>
      <color theme="0" tint="-0.34998626667073579"/>
      <name val="Times New Roman"/>
      <family val="1"/>
    </font>
    <font>
      <sz val="10"/>
      <color theme="0" tint="-0.34998626667073579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i/>
      <sz val="14"/>
      <color theme="0" tint="-0.34998626667073579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23"/>
      </top>
      <bottom style="dashed">
        <color indexed="2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23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23"/>
      </bottom>
      <diagonal/>
    </border>
    <border>
      <left style="thin">
        <color indexed="64"/>
      </left>
      <right/>
      <top style="dashed">
        <color indexed="23"/>
      </top>
      <bottom style="dashed">
        <color indexed="23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55"/>
      </top>
      <bottom style="dashed">
        <color indexed="23"/>
      </bottom>
      <diagonal/>
    </border>
    <border>
      <left style="thin">
        <color indexed="64"/>
      </left>
      <right style="thin">
        <color indexed="64"/>
      </right>
      <top style="dashed">
        <color indexed="23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23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ashed">
        <color indexed="23"/>
      </top>
      <bottom style="dashed">
        <color indexed="23"/>
      </bottom>
      <diagonal/>
    </border>
    <border>
      <left style="thin">
        <color indexed="64"/>
      </left>
      <right style="dotted">
        <color indexed="64"/>
      </right>
      <top style="dashed">
        <color indexed="23"/>
      </top>
      <bottom style="dashed">
        <color indexed="2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23"/>
      </bottom>
      <diagonal/>
    </border>
    <border>
      <left style="thin">
        <color indexed="64"/>
      </left>
      <right style="thin">
        <color indexed="64"/>
      </right>
      <top style="dashed">
        <color indexed="23"/>
      </top>
      <bottom style="dotted">
        <color indexed="64"/>
      </bottom>
      <diagonal/>
    </border>
  </borders>
  <cellStyleXfs count="3">
    <xf numFmtId="0" fontId="0" fillId="0" borderId="0"/>
    <xf numFmtId="43" fontId="38" fillId="0" borderId="0" applyFont="0" applyFill="0" applyBorder="0" applyAlignment="0" applyProtection="0"/>
    <xf numFmtId="0" fontId="1" fillId="0" borderId="0"/>
  </cellStyleXfs>
  <cellXfs count="504">
    <xf numFmtId="0" fontId="0" fillId="0" borderId="0" xfId="0"/>
    <xf numFmtId="0" fontId="13" fillId="0" borderId="0" xfId="0" applyFont="1"/>
    <xf numFmtId="0" fontId="19" fillId="0" borderId="2" xfId="0" applyFont="1" applyBorder="1" applyAlignment="1">
      <alignment horizontal="center"/>
    </xf>
    <xf numFmtId="0" fontId="22" fillId="0" borderId="2" xfId="0" applyFont="1" applyBorder="1"/>
    <xf numFmtId="0" fontId="19" fillId="0" borderId="3" xfId="0" applyFont="1" applyBorder="1" applyAlignment="1">
      <alignment horizontal="center"/>
    </xf>
    <xf numFmtId="0" fontId="19" fillId="0" borderId="3" xfId="0" applyFont="1" applyBorder="1" applyAlignment="1">
      <alignment horizontal="center" wrapText="1"/>
    </xf>
    <xf numFmtId="0" fontId="22" fillId="0" borderId="3" xfId="0" applyFont="1" applyBorder="1"/>
    <xf numFmtId="0" fontId="19" fillId="0" borderId="3" xfId="0" applyFont="1" applyBorder="1" applyAlignment="1">
      <alignment wrapText="1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/>
    </xf>
    <xf numFmtId="0" fontId="22" fillId="0" borderId="5" xfId="0" applyFont="1" applyBorder="1"/>
    <xf numFmtId="0" fontId="19" fillId="0" borderId="2" xfId="0" applyFont="1" applyBorder="1" applyAlignment="1">
      <alignment vertical="center" wrapText="1"/>
    </xf>
    <xf numFmtId="0" fontId="19" fillId="0" borderId="2" xfId="0" applyFont="1" applyBorder="1"/>
    <xf numFmtId="0" fontId="19" fillId="0" borderId="3" xfId="0" applyFont="1" applyBorder="1" applyAlignment="1">
      <alignment vertical="center" wrapText="1"/>
    </xf>
    <xf numFmtId="0" fontId="19" fillId="0" borderId="3" xfId="0" applyFont="1" applyBorder="1"/>
    <xf numFmtId="0" fontId="23" fillId="0" borderId="0" xfId="0" applyFont="1"/>
    <xf numFmtId="0" fontId="24" fillId="0" borderId="0" xfId="0" applyFont="1"/>
    <xf numFmtId="0" fontId="16" fillId="0" borderId="0" xfId="0" applyFont="1"/>
    <xf numFmtId="0" fontId="19" fillId="0" borderId="0" xfId="0" applyFont="1" applyBorder="1" applyAlignment="1">
      <alignment horizontal="center"/>
    </xf>
    <xf numFmtId="0" fontId="22" fillId="0" borderId="0" xfId="0" applyFont="1" applyBorder="1"/>
    <xf numFmtId="0" fontId="23" fillId="0" borderId="0" xfId="0" applyFont="1" applyFill="1"/>
    <xf numFmtId="0" fontId="22" fillId="2" borderId="2" xfId="0" applyFont="1" applyFill="1" applyBorder="1"/>
    <xf numFmtId="0" fontId="22" fillId="2" borderId="3" xfId="0" applyFont="1" applyFill="1" applyBorder="1"/>
    <xf numFmtId="0" fontId="19" fillId="2" borderId="2" xfId="0" applyFont="1" applyFill="1" applyBorder="1"/>
    <xf numFmtId="0" fontId="19" fillId="2" borderId="3" xfId="0" applyFont="1" applyFill="1" applyBorder="1"/>
    <xf numFmtId="0" fontId="20" fillId="0" borderId="5" xfId="0" applyFont="1" applyBorder="1" applyAlignment="1">
      <alignment wrapText="1"/>
    </xf>
    <xf numFmtId="0" fontId="20" fillId="0" borderId="7" xfId="0" applyFont="1" applyBorder="1" applyAlignment="1">
      <alignment wrapText="1"/>
    </xf>
    <xf numFmtId="0" fontId="19" fillId="0" borderId="8" xfId="0" applyFont="1" applyBorder="1"/>
    <xf numFmtId="0" fontId="19" fillId="0" borderId="9" xfId="0" applyFont="1" applyBorder="1"/>
    <xf numFmtId="0" fontId="22" fillId="0" borderId="9" xfId="0" applyFont="1" applyBorder="1"/>
    <xf numFmtId="0" fontId="19" fillId="0" borderId="3" xfId="0" applyFont="1" applyFill="1" applyBorder="1" applyAlignment="1">
      <alignment vertical="center" wrapText="1"/>
    </xf>
    <xf numFmtId="0" fontId="11" fillId="0" borderId="0" xfId="0" applyFont="1"/>
    <xf numFmtId="0" fontId="0" fillId="0" borderId="0" xfId="0" applyFill="1"/>
    <xf numFmtId="0" fontId="15" fillId="0" borderId="0" xfId="0" applyFont="1" applyFill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wrapText="1"/>
    </xf>
    <xf numFmtId="0" fontId="5" fillId="0" borderId="10" xfId="0" applyFont="1" applyBorder="1" applyAlignment="1">
      <alignment horizontal="left"/>
    </xf>
    <xf numFmtId="0" fontId="5" fillId="0" borderId="10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7" fillId="0" borderId="10" xfId="0" applyFont="1" applyBorder="1" applyAlignment="1">
      <alignment horizontal="right" wrapText="1"/>
    </xf>
    <xf numFmtId="0" fontId="7" fillId="0" borderId="10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justify" wrapText="1"/>
    </xf>
    <xf numFmtId="0" fontId="5" fillId="0" borderId="10" xfId="0" applyFont="1" applyFill="1" applyBorder="1" applyAlignment="1">
      <alignment horizontal="justify" vertical="center" wrapText="1"/>
    </xf>
    <xf numFmtId="0" fontId="5" fillId="0" borderId="10" xfId="0" applyFont="1" applyBorder="1" applyAlignment="1">
      <alignment horizontal="justify"/>
    </xf>
    <xf numFmtId="0" fontId="5" fillId="0" borderId="10" xfId="0" applyFont="1" applyBorder="1" applyAlignment="1">
      <alignment horizontal="justify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25" fillId="0" borderId="17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right" vertical="center" wrapText="1"/>
    </xf>
    <xf numFmtId="0" fontId="34" fillId="0" borderId="10" xfId="0" applyFont="1" applyFill="1" applyBorder="1" applyAlignment="1">
      <alignment horizontal="left" vertical="center" wrapText="1"/>
    </xf>
    <xf numFmtId="0" fontId="34" fillId="0" borderId="10" xfId="0" applyFont="1" applyBorder="1" applyAlignment="1">
      <alignment horizontal="left" vertical="center" wrapText="1"/>
    </xf>
    <xf numFmtId="0" fontId="32" fillId="0" borderId="0" xfId="0" applyFont="1" applyFill="1" applyAlignment="1">
      <alignment horizontal="right" vertical="center" wrapText="1"/>
    </xf>
    <xf numFmtId="0" fontId="6" fillId="0" borderId="10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36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49" fontId="25" fillId="0" borderId="10" xfId="0" applyNumberFormat="1" applyFont="1" applyFill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/>
    </xf>
    <xf numFmtId="0" fontId="19" fillId="0" borderId="2" xfId="0" applyFont="1" applyBorder="1" applyAlignment="1">
      <alignment wrapText="1"/>
    </xf>
    <xf numFmtId="0" fontId="23" fillId="4" borderId="13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0" fontId="23" fillId="4" borderId="14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36" fillId="4" borderId="1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left" vertical="center" wrapText="1"/>
    </xf>
    <xf numFmtId="0" fontId="6" fillId="0" borderId="16" xfId="0" applyFont="1" applyBorder="1" applyAlignment="1">
      <alignment horizontal="justify" vertical="center" wrapText="1"/>
    </xf>
    <xf numFmtId="0" fontId="21" fillId="0" borderId="0" xfId="0" applyFont="1" applyBorder="1" applyAlignment="1">
      <alignment vertical="center" wrapText="1"/>
    </xf>
    <xf numFmtId="0" fontId="17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31" fillId="6" borderId="10" xfId="0" applyFont="1" applyFill="1" applyBorder="1" applyAlignment="1">
      <alignment vertical="center" wrapText="1"/>
    </xf>
    <xf numFmtId="0" fontId="5" fillId="6" borderId="16" xfId="0" applyFont="1" applyFill="1" applyBorder="1" applyAlignment="1">
      <alignment horizontal="center" vertical="center"/>
    </xf>
    <xf numFmtId="0" fontId="0" fillId="6" borderId="0" xfId="0" applyFill="1"/>
    <xf numFmtId="0" fontId="31" fillId="6" borderId="16" xfId="0" applyFont="1" applyFill="1" applyBorder="1" applyAlignment="1">
      <alignment horizontal="left" vertical="center" wrapText="1"/>
    </xf>
    <xf numFmtId="0" fontId="5" fillId="6" borderId="25" xfId="0" applyFont="1" applyFill="1" applyBorder="1" applyAlignment="1">
      <alignment horizontal="center" vertical="center"/>
    </xf>
    <xf numFmtId="0" fontId="0" fillId="6" borderId="9" xfId="0" applyFill="1" applyBorder="1"/>
    <xf numFmtId="0" fontId="31" fillId="6" borderId="25" xfId="0" applyFont="1" applyFill="1" applyBorder="1" applyAlignment="1">
      <alignment vertical="center" wrapText="1"/>
    </xf>
    <xf numFmtId="0" fontId="34" fillId="6" borderId="24" xfId="0" applyFont="1" applyFill="1" applyBorder="1" applyAlignment="1">
      <alignment horizontal="left" vertical="center" wrapText="1"/>
    </xf>
    <xf numFmtId="0" fontId="7" fillId="6" borderId="10" xfId="0" applyFont="1" applyFill="1" applyBorder="1" applyAlignment="1">
      <alignment vertical="center" wrapText="1"/>
    </xf>
    <xf numFmtId="0" fontId="27" fillId="6" borderId="10" xfId="0" applyFont="1" applyFill="1" applyBorder="1" applyAlignment="1">
      <alignment vertical="center" wrapText="1"/>
    </xf>
    <xf numFmtId="0" fontId="29" fillId="6" borderId="10" xfId="0" applyFont="1" applyFill="1" applyBorder="1" applyAlignment="1">
      <alignment vertical="center" wrapText="1"/>
    </xf>
    <xf numFmtId="0" fontId="31" fillId="6" borderId="10" xfId="0" applyFont="1" applyFill="1" applyBorder="1" applyAlignment="1">
      <alignment horizontal="right" vertical="center" wrapText="1"/>
    </xf>
    <xf numFmtId="0" fontId="11" fillId="6" borderId="35" xfId="0" applyFont="1" applyFill="1" applyBorder="1" applyAlignment="1">
      <alignment horizontal="left" wrapText="1"/>
    </xf>
    <xf numFmtId="0" fontId="5" fillId="6" borderId="10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left" wrapText="1"/>
    </xf>
    <xf numFmtId="0" fontId="5" fillId="6" borderId="11" xfId="0" applyFont="1" applyFill="1" applyBorder="1" applyAlignment="1">
      <alignment horizontal="left" vertical="center" wrapText="1"/>
    </xf>
    <xf numFmtId="0" fontId="5" fillId="6" borderId="11" xfId="0" applyFont="1" applyFill="1" applyBorder="1" applyAlignment="1">
      <alignment horizontal="left"/>
    </xf>
    <xf numFmtId="0" fontId="5" fillId="6" borderId="34" xfId="0" applyFont="1" applyFill="1" applyBorder="1" applyAlignment="1">
      <alignment horizontal="left"/>
    </xf>
    <xf numFmtId="0" fontId="0" fillId="7" borderId="0" xfId="0" applyFill="1"/>
    <xf numFmtId="0" fontId="33" fillId="0" borderId="0" xfId="0" applyFont="1"/>
    <xf numFmtId="0" fontId="34" fillId="0" borderId="0" xfId="0" applyFont="1" applyFill="1" applyBorder="1" applyAlignment="1">
      <alignment vertical="center" wrapText="1"/>
    </xf>
    <xf numFmtId="0" fontId="23" fillId="4" borderId="23" xfId="0" applyFont="1" applyFill="1" applyBorder="1" applyAlignment="1">
      <alignment horizontal="center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19" fillId="6" borderId="2" xfId="0" applyFont="1" applyFill="1" applyBorder="1" applyAlignment="1">
      <alignment horizontal="center"/>
    </xf>
    <xf numFmtId="0" fontId="19" fillId="6" borderId="3" xfId="0" applyFont="1" applyFill="1" applyBorder="1" applyAlignment="1">
      <alignment horizontal="center"/>
    </xf>
    <xf numFmtId="0" fontId="19" fillId="6" borderId="3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0" applyFont="1" applyFill="1" applyBorder="1"/>
    <xf numFmtId="0" fontId="2" fillId="0" borderId="0" xfId="0" applyFont="1" applyFill="1"/>
    <xf numFmtId="0" fontId="2" fillId="0" borderId="0" xfId="0" applyFont="1" applyFill="1" applyBorder="1"/>
    <xf numFmtId="0" fontId="0" fillId="0" borderId="0" xfId="0" applyFont="1"/>
    <xf numFmtId="0" fontId="33" fillId="6" borderId="1" xfId="0" applyFont="1" applyFill="1" applyBorder="1" applyAlignment="1">
      <alignment vertical="center" wrapText="1"/>
    </xf>
    <xf numFmtId="0" fontId="0" fillId="6" borderId="1" xfId="0" applyFill="1" applyBorder="1"/>
    <xf numFmtId="0" fontId="34" fillId="6" borderId="1" xfId="0" applyFont="1" applyFill="1" applyBorder="1" applyAlignment="1">
      <alignment vertical="center" wrapText="1"/>
    </xf>
    <xf numFmtId="0" fontId="11" fillId="0" borderId="12" xfId="0" applyFont="1" applyFill="1" applyBorder="1"/>
    <xf numFmtId="0" fontId="42" fillId="0" borderId="20" xfId="0" applyFont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0" fontId="42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20" xfId="0" applyFont="1" applyBorder="1" applyAlignment="1">
      <alignment horizontal="center" wrapText="1"/>
    </xf>
    <xf numFmtId="0" fontId="16" fillId="6" borderId="1" xfId="0" applyFont="1" applyFill="1" applyBorder="1"/>
    <xf numFmtId="0" fontId="16" fillId="6" borderId="1" xfId="0" applyFont="1" applyFill="1" applyBorder="1" applyAlignment="1">
      <alignment horizontal="center" vertical="center" wrapText="1"/>
    </xf>
    <xf numFmtId="0" fontId="16" fillId="6" borderId="20" xfId="0" applyFont="1" applyFill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1" xfId="0" applyFont="1" applyBorder="1"/>
    <xf numFmtId="0" fontId="16" fillId="0" borderId="1" xfId="0" applyFont="1" applyBorder="1"/>
    <xf numFmtId="0" fontId="16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/>
    </xf>
    <xf numFmtId="0" fontId="42" fillId="0" borderId="1" xfId="0" applyFont="1" applyBorder="1"/>
    <xf numFmtId="2" fontId="16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wrapText="1"/>
    </xf>
    <xf numFmtId="0" fontId="16" fillId="6" borderId="1" xfId="0" applyFont="1" applyFill="1" applyBorder="1" applyAlignment="1">
      <alignment horizontal="center"/>
    </xf>
    <xf numFmtId="2" fontId="16" fillId="6" borderId="1" xfId="0" applyNumberFormat="1" applyFont="1" applyFill="1" applyBorder="1" applyAlignment="1">
      <alignment horizontal="center"/>
    </xf>
    <xf numFmtId="0" fontId="42" fillId="0" borderId="1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wrapText="1"/>
    </xf>
    <xf numFmtId="0" fontId="42" fillId="6" borderId="1" xfId="0" applyFont="1" applyFill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/>
    </xf>
    <xf numFmtId="0" fontId="42" fillId="0" borderId="0" xfId="0" applyFont="1" applyAlignment="1">
      <alignment wrapText="1"/>
    </xf>
    <xf numFmtId="0" fontId="16" fillId="0" borderId="1" xfId="0" applyFont="1" applyBorder="1" applyAlignment="1">
      <alignment horizontal="left" wrapText="1"/>
    </xf>
    <xf numFmtId="0" fontId="42" fillId="0" borderId="27" xfId="0" applyFont="1" applyBorder="1" applyAlignment="1">
      <alignment horizontal="left"/>
    </xf>
    <xf numFmtId="0" fontId="50" fillId="0" borderId="1" xfId="2" applyFont="1" applyBorder="1" applyAlignment="1">
      <alignment horizontal="center" wrapText="1"/>
    </xf>
    <xf numFmtId="0" fontId="50" fillId="0" borderId="1" xfId="2" applyFont="1" applyBorder="1"/>
    <xf numFmtId="2" fontId="41" fillId="9" borderId="1" xfId="0" applyNumberFormat="1" applyFont="1" applyFill="1" applyBorder="1"/>
    <xf numFmtId="4" fontId="41" fillId="9" borderId="1" xfId="0" applyNumberFormat="1" applyFont="1" applyFill="1" applyBorder="1"/>
    <xf numFmtId="0" fontId="11" fillId="0" borderId="10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2" fontId="3" fillId="0" borderId="16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53" fillId="0" borderId="0" xfId="0" applyFont="1"/>
    <xf numFmtId="0" fontId="11" fillId="10" borderId="0" xfId="0" applyFont="1" applyFill="1"/>
    <xf numFmtId="0" fontId="19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6" fillId="11" borderId="1" xfId="0" applyFont="1" applyFill="1" applyBorder="1" applyAlignment="1">
      <alignment horizontal="center"/>
    </xf>
    <xf numFmtId="0" fontId="16" fillId="11" borderId="1" xfId="0" applyFont="1" applyFill="1" applyBorder="1"/>
    <xf numFmtId="0" fontId="11" fillId="6" borderId="10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165" fontId="11" fillId="6" borderId="11" xfId="0" applyNumberFormat="1" applyFont="1" applyFill="1" applyBorder="1" applyAlignment="1">
      <alignment horizontal="center"/>
    </xf>
    <xf numFmtId="165" fontId="11" fillId="6" borderId="10" xfId="0" applyNumberFormat="1" applyFont="1" applyFill="1" applyBorder="1" applyAlignment="1">
      <alignment horizontal="center" vertical="center" wrapText="1"/>
    </xf>
    <xf numFmtId="0" fontId="45" fillId="6" borderId="0" xfId="0" applyFont="1" applyFill="1"/>
    <xf numFmtId="0" fontId="53" fillId="6" borderId="0" xfId="0" applyFont="1" applyFill="1"/>
    <xf numFmtId="0" fontId="0" fillId="6" borderId="0" xfId="0" applyFill="1" applyBorder="1"/>
    <xf numFmtId="0" fontId="50" fillId="0" borderId="1" xfId="0" applyFont="1" applyBorder="1" applyAlignment="1">
      <alignment horizontal="center" wrapText="1"/>
    </xf>
    <xf numFmtId="0" fontId="50" fillId="0" borderId="1" xfId="0" applyFont="1" applyBorder="1"/>
    <xf numFmtId="0" fontId="19" fillId="4" borderId="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6" borderId="12" xfId="0" applyFont="1" applyFill="1" applyBorder="1"/>
    <xf numFmtId="164" fontId="3" fillId="0" borderId="0" xfId="0" applyNumberFormat="1" applyFont="1" applyBorder="1" applyAlignment="1">
      <alignment horizontal="center" vertical="center" wrapText="1"/>
    </xf>
    <xf numFmtId="0" fontId="50" fillId="0" borderId="1" xfId="2" applyFont="1" applyFill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/>
    <xf numFmtId="2" fontId="16" fillId="11" borderId="1" xfId="0" applyNumberFormat="1" applyFont="1" applyFill="1" applyBorder="1" applyAlignment="1">
      <alignment horizontal="center"/>
    </xf>
    <xf numFmtId="2" fontId="16" fillId="0" borderId="1" xfId="0" applyNumberFormat="1" applyFont="1" applyBorder="1"/>
    <xf numFmtId="2" fontId="16" fillId="11" borderId="1" xfId="0" applyNumberFormat="1" applyFont="1" applyFill="1" applyBorder="1"/>
    <xf numFmtId="2" fontId="16" fillId="0" borderId="1" xfId="0" applyNumberFormat="1" applyFont="1" applyBorder="1" applyAlignment="1">
      <alignment horizontal="center" vertical="center" wrapText="1"/>
    </xf>
    <xf numFmtId="172" fontId="16" fillId="0" borderId="1" xfId="0" applyNumberFormat="1" applyFont="1" applyBorder="1" applyAlignment="1">
      <alignment horizontal="center" vertical="center" wrapText="1"/>
    </xf>
    <xf numFmtId="0" fontId="16" fillId="6" borderId="1" xfId="0" applyFont="1" applyFill="1" applyBorder="1" applyAlignment="1">
      <alignment wrapText="1"/>
    </xf>
    <xf numFmtId="0" fontId="59" fillId="6" borderId="0" xfId="0" applyFont="1" applyFill="1"/>
    <xf numFmtId="10" fontId="59" fillId="6" borderId="0" xfId="0" applyNumberFormat="1" applyFont="1" applyFill="1"/>
    <xf numFmtId="9" fontId="59" fillId="6" borderId="0" xfId="0" applyNumberFormat="1" applyFont="1" applyFill="1"/>
    <xf numFmtId="10" fontId="53" fillId="6" borderId="0" xfId="0" applyNumberFormat="1" applyFont="1" applyFill="1"/>
    <xf numFmtId="9" fontId="53" fillId="6" borderId="0" xfId="0" applyNumberFormat="1" applyFont="1" applyFill="1"/>
    <xf numFmtId="0" fontId="53" fillId="6" borderId="0" xfId="0" applyFont="1" applyFill="1" applyBorder="1"/>
    <xf numFmtId="0" fontId="60" fillId="6" borderId="0" xfId="0" applyFont="1" applyFill="1" applyBorder="1" applyAlignment="1">
      <alignment horizontal="center" vertical="center" wrapText="1"/>
    </xf>
    <xf numFmtId="0" fontId="61" fillId="6" borderId="0" xfId="0" applyFont="1" applyFill="1" applyBorder="1" applyAlignment="1">
      <alignment horizontal="center" wrapText="1"/>
    </xf>
    <xf numFmtId="0" fontId="52" fillId="6" borderId="0" xfId="0" applyFont="1" applyFill="1" applyBorder="1" applyAlignment="1">
      <alignment horizontal="center" vertical="center" wrapText="1"/>
    </xf>
    <xf numFmtId="165" fontId="53" fillId="6" borderId="0" xfId="0" applyNumberFormat="1" applyFont="1" applyFill="1" applyBorder="1"/>
    <xf numFmtId="164" fontId="53" fillId="6" borderId="0" xfId="0" applyNumberFormat="1" applyFont="1" applyFill="1"/>
    <xf numFmtId="1" fontId="53" fillId="6" borderId="0" xfId="0" applyNumberFormat="1" applyFont="1" applyFill="1" applyBorder="1"/>
    <xf numFmtId="2" fontId="53" fillId="6" borderId="0" xfId="0" applyNumberFormat="1" applyFont="1" applyFill="1"/>
    <xf numFmtId="164" fontId="60" fillId="6" borderId="36" xfId="0" applyNumberFormat="1" applyFont="1" applyFill="1" applyBorder="1" applyAlignment="1">
      <alignment horizontal="center" vertical="center" wrapText="1"/>
    </xf>
    <xf numFmtId="0" fontId="62" fillId="6" borderId="0" xfId="0" applyFont="1" applyFill="1"/>
    <xf numFmtId="169" fontId="52" fillId="6" borderId="12" xfId="1" applyNumberFormat="1" applyFont="1" applyFill="1" applyBorder="1" applyAlignment="1">
      <alignment vertical="center" wrapText="1"/>
    </xf>
    <xf numFmtId="166" fontId="63" fillId="6" borderId="0" xfId="0" applyNumberFormat="1" applyFont="1" applyFill="1"/>
    <xf numFmtId="0" fontId="53" fillId="6" borderId="9" xfId="0" applyFont="1" applyFill="1" applyBorder="1"/>
    <xf numFmtId="4" fontId="3" fillId="6" borderId="1" xfId="0" applyNumberFormat="1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left" vertical="center" wrapText="1"/>
    </xf>
    <xf numFmtId="2" fontId="2" fillId="6" borderId="17" xfId="0" applyNumberFormat="1" applyFont="1" applyFill="1" applyBorder="1" applyAlignment="1">
      <alignment horizontal="left" vertical="center" wrapText="1"/>
    </xf>
    <xf numFmtId="165" fontId="11" fillId="6" borderId="11" xfId="0" applyNumberFormat="1" applyFont="1" applyFill="1" applyBorder="1" applyAlignment="1">
      <alignment horizontal="center" vertical="center"/>
    </xf>
    <xf numFmtId="165" fontId="11" fillId="6" borderId="42" xfId="0" applyNumberFormat="1" applyFont="1" applyFill="1" applyBorder="1" applyAlignment="1">
      <alignment horizontal="center" vertical="center"/>
    </xf>
    <xf numFmtId="4" fontId="11" fillId="6" borderId="10" xfId="0" applyNumberFormat="1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2" fontId="3" fillId="6" borderId="10" xfId="0" applyNumberFormat="1" applyFont="1" applyFill="1" applyBorder="1" applyAlignment="1">
      <alignment horizontal="center" vertical="center" wrapText="1"/>
    </xf>
    <xf numFmtId="164" fontId="3" fillId="6" borderId="41" xfId="0" applyNumberFormat="1" applyFont="1" applyFill="1" applyBorder="1" applyAlignment="1">
      <alignment horizontal="center" vertical="center" wrapText="1"/>
    </xf>
    <xf numFmtId="164" fontId="3" fillId="6" borderId="10" xfId="0" applyNumberFormat="1" applyFont="1" applyFill="1" applyBorder="1" applyAlignment="1">
      <alignment horizontal="center" vertical="center" wrapText="1"/>
    </xf>
    <xf numFmtId="2" fontId="3" fillId="6" borderId="16" xfId="0" applyNumberFormat="1" applyFont="1" applyFill="1" applyBorder="1" applyAlignment="1">
      <alignment horizontal="center" vertical="center" wrapText="1"/>
    </xf>
    <xf numFmtId="2" fontId="4" fillId="6" borderId="10" xfId="0" applyNumberFormat="1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2" fontId="11" fillId="6" borderId="10" xfId="0" applyNumberFormat="1" applyFont="1" applyFill="1" applyBorder="1" applyAlignment="1">
      <alignment horizontal="center" vertical="center" wrapText="1"/>
    </xf>
    <xf numFmtId="2" fontId="11" fillId="6" borderId="18" xfId="0" applyNumberFormat="1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/>
    </xf>
    <xf numFmtId="164" fontId="2" fillId="6" borderId="10" xfId="0" applyNumberFormat="1" applyFont="1" applyFill="1" applyBorder="1" applyAlignment="1">
      <alignment horizontal="left" vertical="center" wrapText="1"/>
    </xf>
    <xf numFmtId="165" fontId="11" fillId="6" borderId="10" xfId="0" applyNumberFormat="1" applyFont="1" applyFill="1" applyBorder="1" applyAlignment="1">
      <alignment vertical="center" wrapText="1"/>
    </xf>
    <xf numFmtId="1" fontId="3" fillId="6" borderId="10" xfId="0" applyNumberFormat="1" applyFont="1" applyFill="1" applyBorder="1" applyAlignment="1">
      <alignment horizontal="center" vertical="center" wrapText="1"/>
    </xf>
    <xf numFmtId="1" fontId="11" fillId="6" borderId="10" xfId="0" applyNumberFormat="1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165" fontId="3" fillId="6" borderId="16" xfId="0" applyNumberFormat="1" applyFont="1" applyFill="1" applyBorder="1" applyAlignment="1">
      <alignment horizontal="center" vertical="center" wrapText="1"/>
    </xf>
    <xf numFmtId="4" fontId="3" fillId="6" borderId="16" xfId="0" applyNumberFormat="1" applyFont="1" applyFill="1" applyBorder="1" applyAlignment="1">
      <alignment horizontal="center" vertical="center" wrapText="1"/>
    </xf>
    <xf numFmtId="164" fontId="3" fillId="6" borderId="16" xfId="0" applyNumberFormat="1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164" fontId="3" fillId="6" borderId="17" xfId="0" applyNumberFormat="1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164" fontId="11" fillId="6" borderId="10" xfId="0" applyNumberFormat="1" applyFont="1" applyFill="1" applyBorder="1" applyAlignment="1">
      <alignment horizontal="center" vertical="center" wrapText="1"/>
    </xf>
    <xf numFmtId="0" fontId="47" fillId="6" borderId="10" xfId="0" applyFont="1" applyFill="1" applyBorder="1" applyAlignment="1">
      <alignment horizontal="center" vertical="center" wrapText="1"/>
    </xf>
    <xf numFmtId="165" fontId="47" fillId="6" borderId="10" xfId="0" applyNumberFormat="1" applyFont="1" applyFill="1" applyBorder="1" applyAlignment="1">
      <alignment horizontal="center" vertical="center" wrapText="1"/>
    </xf>
    <xf numFmtId="165" fontId="7" fillId="6" borderId="10" xfId="0" applyNumberFormat="1" applyFont="1" applyFill="1" applyBorder="1" applyAlignment="1">
      <alignment horizontal="center" vertical="center" wrapText="1"/>
    </xf>
    <xf numFmtId="2" fontId="7" fillId="6" borderId="10" xfId="0" applyNumberFormat="1" applyFont="1" applyFill="1" applyBorder="1" applyAlignment="1">
      <alignment horizontal="center" vertical="center" wrapText="1"/>
    </xf>
    <xf numFmtId="2" fontId="56" fillId="6" borderId="10" xfId="0" applyNumberFormat="1" applyFont="1" applyFill="1" applyBorder="1" applyAlignment="1">
      <alignment horizontal="center" vertical="center" wrapText="1"/>
    </xf>
    <xf numFmtId="164" fontId="11" fillId="6" borderId="40" xfId="0" applyNumberFormat="1" applyFont="1" applyFill="1" applyBorder="1" applyAlignment="1">
      <alignment horizontal="center" vertical="center" wrapText="1"/>
    </xf>
    <xf numFmtId="165" fontId="11" fillId="6" borderId="43" xfId="0" applyNumberFormat="1" applyFont="1" applyFill="1" applyBorder="1" applyAlignment="1">
      <alignment horizontal="center"/>
    </xf>
    <xf numFmtId="0" fontId="11" fillId="6" borderId="12" xfId="0" applyFont="1" applyFill="1" applyBorder="1" applyAlignment="1">
      <alignment horizontal="center"/>
    </xf>
    <xf numFmtId="0" fontId="11" fillId="6" borderId="17" xfId="0" applyFont="1" applyFill="1" applyBorder="1" applyAlignment="1">
      <alignment horizontal="center"/>
    </xf>
    <xf numFmtId="165" fontId="56" fillId="6" borderId="10" xfId="0" applyNumberFormat="1" applyFont="1" applyFill="1" applyBorder="1" applyAlignment="1">
      <alignment horizontal="center" vertical="center" wrapText="1"/>
    </xf>
    <xf numFmtId="1" fontId="47" fillId="6" borderId="10" xfId="0" applyNumberFormat="1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167" fontId="11" fillId="6" borderId="11" xfId="0" applyNumberFormat="1" applyFont="1" applyFill="1" applyBorder="1" applyAlignment="1">
      <alignment horizontal="center" vertical="center" wrapText="1"/>
    </xf>
    <xf numFmtId="168" fontId="11" fillId="6" borderId="10" xfId="1" applyNumberFormat="1" applyFont="1" applyFill="1" applyBorder="1" applyAlignment="1">
      <alignment horizontal="left" vertical="center" wrapText="1"/>
    </xf>
    <xf numFmtId="168" fontId="11" fillId="6" borderId="10" xfId="1" applyNumberFormat="1" applyFont="1" applyFill="1" applyBorder="1" applyAlignment="1">
      <alignment horizontal="center" vertical="center" wrapText="1"/>
    </xf>
    <xf numFmtId="168" fontId="11" fillId="6" borderId="10" xfId="0" applyNumberFormat="1" applyFont="1" applyFill="1" applyBorder="1" applyAlignment="1">
      <alignment horizontal="left" vertical="center" wrapText="1"/>
    </xf>
    <xf numFmtId="170" fontId="11" fillId="6" borderId="10" xfId="0" applyNumberFormat="1" applyFont="1" applyFill="1" applyBorder="1" applyAlignment="1">
      <alignment horizontal="left" vertical="center" wrapText="1"/>
    </xf>
    <xf numFmtId="4" fontId="3" fillId="6" borderId="10" xfId="0" applyNumberFormat="1" applyFont="1" applyFill="1" applyBorder="1" applyAlignment="1">
      <alignment horizontal="center" vertical="center" wrapText="1"/>
    </xf>
    <xf numFmtId="164" fontId="11" fillId="6" borderId="10" xfId="0" applyNumberFormat="1" applyFont="1" applyFill="1" applyBorder="1" applyAlignment="1">
      <alignment horizontal="left" vertical="center" wrapText="1"/>
    </xf>
    <xf numFmtId="169" fontId="11" fillId="6" borderId="10" xfId="1" applyNumberFormat="1" applyFont="1" applyFill="1" applyBorder="1" applyAlignment="1">
      <alignment vertical="center" wrapText="1"/>
    </xf>
    <xf numFmtId="166" fontId="3" fillId="6" borderId="24" xfId="0" applyNumberFormat="1" applyFont="1" applyFill="1" applyBorder="1" applyAlignment="1">
      <alignment horizontal="center" vertical="center" wrapText="1"/>
    </xf>
    <xf numFmtId="167" fontId="11" fillId="6" borderId="17" xfId="0" applyNumberFormat="1" applyFont="1" applyFill="1" applyBorder="1" applyAlignment="1">
      <alignment horizontal="center" vertical="center" wrapText="1"/>
    </xf>
    <xf numFmtId="171" fontId="11" fillId="6" borderId="17" xfId="0" applyNumberFormat="1" applyFont="1" applyFill="1" applyBorder="1" applyAlignment="1">
      <alignment horizontal="center" vertical="center" wrapText="1"/>
    </xf>
    <xf numFmtId="166" fontId="3" fillId="6" borderId="10" xfId="0" applyNumberFormat="1" applyFont="1" applyFill="1" applyBorder="1" applyAlignment="1">
      <alignment horizontal="center" vertical="center" wrapText="1"/>
    </xf>
    <xf numFmtId="166" fontId="11" fillId="6" borderId="10" xfId="0" applyNumberFormat="1" applyFont="1" applyFill="1" applyBorder="1" applyAlignment="1">
      <alignment horizontal="center" vertical="center" wrapText="1"/>
    </xf>
    <xf numFmtId="166" fontId="11" fillId="6" borderId="16" xfId="0" applyNumberFormat="1" applyFont="1" applyFill="1" applyBorder="1" applyAlignment="1">
      <alignment horizontal="center" vertical="center" wrapText="1"/>
    </xf>
    <xf numFmtId="166" fontId="11" fillId="6" borderId="25" xfId="0" applyNumberFormat="1" applyFont="1" applyFill="1" applyBorder="1" applyAlignment="1">
      <alignment horizontal="center" vertical="center" wrapText="1"/>
    </xf>
    <xf numFmtId="166" fontId="11" fillId="6" borderId="17" xfId="0" applyNumberFormat="1" applyFont="1" applyFill="1" applyBorder="1" applyAlignment="1">
      <alignment horizontal="center" vertical="center" wrapText="1"/>
    </xf>
    <xf numFmtId="0" fontId="64" fillId="0" borderId="0" xfId="0" applyFont="1" applyAlignment="1">
      <alignment horizontal="right" vertical="center" wrapText="1"/>
    </xf>
    <xf numFmtId="0" fontId="65" fillId="7" borderId="0" xfId="0" applyFont="1" applyFill="1" applyAlignment="1">
      <alignment wrapText="1"/>
    </xf>
    <xf numFmtId="0" fontId="66" fillId="0" borderId="0" xfId="0" applyFont="1"/>
    <xf numFmtId="0" fontId="67" fillId="0" borderId="0" xfId="0" applyFont="1"/>
    <xf numFmtId="0" fontId="58" fillId="0" borderId="0" xfId="0" applyFont="1"/>
    <xf numFmtId="0" fontId="58" fillId="0" borderId="0" xfId="0" applyFont="1" applyFill="1" applyAlignment="1">
      <alignment horizontal="right"/>
    </xf>
    <xf numFmtId="0" fontId="21" fillId="6" borderId="4" xfId="0" applyFont="1" applyFill="1" applyBorder="1" applyAlignment="1">
      <alignment wrapText="1"/>
    </xf>
    <xf numFmtId="0" fontId="22" fillId="6" borderId="4" xfId="0" applyFont="1" applyFill="1" applyBorder="1"/>
    <xf numFmtId="0" fontId="19" fillId="6" borderId="4" xfId="0" applyFont="1" applyFill="1" applyBorder="1" applyAlignment="1">
      <alignment horizontal="center"/>
    </xf>
    <xf numFmtId="10" fontId="51" fillId="6" borderId="4" xfId="0" applyNumberFormat="1" applyFont="1" applyFill="1" applyBorder="1" applyAlignment="1">
      <alignment horizontal="center"/>
    </xf>
    <xf numFmtId="0" fontId="19" fillId="6" borderId="4" xfId="0" applyFont="1" applyFill="1" applyBorder="1" applyAlignment="1">
      <alignment wrapText="1"/>
    </xf>
    <xf numFmtId="0" fontId="19" fillId="6" borderId="4" xfId="0" applyFont="1" applyFill="1" applyBorder="1" applyAlignment="1">
      <alignment horizontal="center" vertical="center"/>
    </xf>
    <xf numFmtId="0" fontId="19" fillId="6" borderId="4" xfId="0" applyFont="1" applyFill="1" applyBorder="1"/>
    <xf numFmtId="2" fontId="19" fillId="6" borderId="4" xfId="0" applyNumberFormat="1" applyFont="1" applyFill="1" applyBorder="1"/>
    <xf numFmtId="0" fontId="60" fillId="6" borderId="0" xfId="0" applyFont="1" applyFill="1" applyAlignment="1">
      <alignment wrapText="1"/>
    </xf>
    <xf numFmtId="10" fontId="66" fillId="6" borderId="0" xfId="0" applyNumberFormat="1" applyFont="1" applyFill="1"/>
    <xf numFmtId="9" fontId="66" fillId="6" borderId="0" xfId="0" applyNumberFormat="1" applyFont="1" applyFill="1"/>
    <xf numFmtId="0" fontId="58" fillId="6" borderId="0" xfId="0" applyFont="1" applyFill="1"/>
    <xf numFmtId="0" fontId="19" fillId="6" borderId="37" xfId="0" applyFont="1" applyFill="1" applyBorder="1" applyAlignment="1">
      <alignment horizontal="center"/>
    </xf>
    <xf numFmtId="0" fontId="19" fillId="6" borderId="19" xfId="0" applyFont="1" applyFill="1" applyBorder="1" applyAlignment="1">
      <alignment horizontal="center"/>
    </xf>
    <xf numFmtId="0" fontId="21" fillId="6" borderId="6" xfId="0" applyFont="1" applyFill="1" applyBorder="1" applyAlignment="1">
      <alignment wrapText="1"/>
    </xf>
    <xf numFmtId="0" fontId="19" fillId="6" borderId="15" xfId="0" applyFont="1" applyFill="1" applyBorder="1" applyAlignment="1">
      <alignment horizontal="center" vertical="center"/>
    </xf>
    <xf numFmtId="0" fontId="19" fillId="6" borderId="5" xfId="0" applyFont="1" applyFill="1" applyBorder="1" applyAlignment="1">
      <alignment horizontal="center"/>
    </xf>
    <xf numFmtId="0" fontId="0" fillId="6" borderId="38" xfId="0" applyFill="1" applyBorder="1"/>
    <xf numFmtId="0" fontId="19" fillId="6" borderId="5" xfId="0" applyFont="1" applyFill="1" applyBorder="1" applyAlignment="1">
      <alignment horizontal="center" vertical="center" wrapText="1"/>
    </xf>
    <xf numFmtId="0" fontId="22" fillId="6" borderId="5" xfId="0" applyFont="1" applyFill="1" applyBorder="1"/>
    <xf numFmtId="2" fontId="21" fillId="6" borderId="4" xfId="0" applyNumberFormat="1" applyFont="1" applyFill="1" applyBorder="1"/>
    <xf numFmtId="0" fontId="19" fillId="6" borderId="3" xfId="0" applyFont="1" applyFill="1" applyBorder="1" applyAlignment="1">
      <alignment wrapText="1"/>
    </xf>
    <xf numFmtId="0" fontId="19" fillId="6" borderId="3" xfId="0" applyFont="1" applyFill="1" applyBorder="1" applyAlignment="1">
      <alignment horizontal="center" vertical="center"/>
    </xf>
    <xf numFmtId="0" fontId="22" fillId="6" borderId="3" xfId="0" applyFont="1" applyFill="1" applyBorder="1"/>
    <xf numFmtId="2" fontId="22" fillId="6" borderId="3" xfId="0" applyNumberFormat="1" applyFont="1" applyFill="1" applyBorder="1"/>
    <xf numFmtId="0" fontId="62" fillId="6" borderId="0" xfId="0" applyFont="1" applyFill="1" applyAlignment="1">
      <alignment wrapText="1"/>
    </xf>
    <xf numFmtId="10" fontId="58" fillId="6" borderId="0" xfId="0" applyNumberFormat="1" applyFont="1" applyFill="1"/>
    <xf numFmtId="0" fontId="19" fillId="6" borderId="19" xfId="0" applyFont="1" applyFill="1" applyBorder="1" applyAlignment="1">
      <alignment horizontal="center" vertical="center" wrapText="1"/>
    </xf>
    <xf numFmtId="2" fontId="44" fillId="6" borderId="3" xfId="0" applyNumberFormat="1" applyFont="1" applyFill="1" applyBorder="1"/>
    <xf numFmtId="0" fontId="21" fillId="6" borderId="3" xfId="0" applyFont="1" applyFill="1" applyBorder="1" applyAlignment="1">
      <alignment wrapText="1"/>
    </xf>
    <xf numFmtId="0" fontId="22" fillId="6" borderId="19" xfId="0" applyFont="1" applyFill="1" applyBorder="1"/>
    <xf numFmtId="0" fontId="20" fillId="6" borderId="5" xfId="0" applyFont="1" applyFill="1" applyBorder="1" applyAlignment="1">
      <alignment wrapText="1"/>
    </xf>
    <xf numFmtId="0" fontId="19" fillId="6" borderId="5" xfId="0" applyFont="1" applyFill="1" applyBorder="1" applyAlignment="1">
      <alignment horizontal="center" vertical="center"/>
    </xf>
    <xf numFmtId="0" fontId="19" fillId="6" borderId="3" xfId="0" applyFont="1" applyFill="1" applyBorder="1" applyAlignment="1">
      <alignment vertical="center" wrapText="1"/>
    </xf>
    <xf numFmtId="0" fontId="21" fillId="6" borderId="19" xfId="0" applyFont="1" applyFill="1" applyBorder="1" applyAlignment="1">
      <alignment wrapText="1"/>
    </xf>
    <xf numFmtId="0" fontId="19" fillId="6" borderId="19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vertical="center" wrapText="1"/>
    </xf>
    <xf numFmtId="2" fontId="63" fillId="0" borderId="0" xfId="0" applyNumberFormat="1" applyFont="1" applyBorder="1"/>
    <xf numFmtId="0" fontId="52" fillId="0" borderId="0" xfId="0" applyFont="1" applyFill="1" applyBorder="1"/>
    <xf numFmtId="0" fontId="68" fillId="8" borderId="0" xfId="0" applyFont="1" applyFill="1" applyBorder="1"/>
    <xf numFmtId="0" fontId="53" fillId="0" borderId="0" xfId="0" applyFont="1" applyBorder="1"/>
    <xf numFmtId="0" fontId="53" fillId="10" borderId="0" xfId="0" applyFont="1" applyFill="1" applyBorder="1" applyAlignment="1">
      <alignment wrapText="1"/>
    </xf>
    <xf numFmtId="0" fontId="53" fillId="0" borderId="0" xfId="0" applyFont="1" applyFill="1" applyBorder="1" applyAlignment="1">
      <alignment horizontal="right"/>
    </xf>
    <xf numFmtId="0" fontId="53" fillId="0" borderId="0" xfId="0" applyFont="1" applyFill="1" applyBorder="1"/>
    <xf numFmtId="0" fontId="53" fillId="8" borderId="0" xfId="0" applyFont="1" applyFill="1" applyBorder="1"/>
    <xf numFmtId="0" fontId="69" fillId="0" borderId="0" xfId="0" applyFont="1" applyFill="1" applyBorder="1" applyAlignment="1">
      <alignment vertical="center" wrapText="1"/>
    </xf>
    <xf numFmtId="0" fontId="52" fillId="0" borderId="0" xfId="0" applyFont="1" applyFill="1" applyBorder="1" applyAlignment="1">
      <alignment horizontal="left" vertical="center" wrapText="1"/>
    </xf>
    <xf numFmtId="2" fontId="53" fillId="8" borderId="0" xfId="0" applyNumberFormat="1" applyFont="1" applyFill="1" applyBorder="1"/>
    <xf numFmtId="1" fontId="53" fillId="11" borderId="0" xfId="0" applyNumberFormat="1" applyFont="1" applyFill="1" applyBorder="1"/>
    <xf numFmtId="3" fontId="53" fillId="11" borderId="0" xfId="0" applyNumberFormat="1" applyFont="1" applyFill="1" applyBorder="1"/>
    <xf numFmtId="0" fontId="53" fillId="10" borderId="0" xfId="0" applyFont="1" applyFill="1" applyBorder="1"/>
    <xf numFmtId="1" fontId="53" fillId="7" borderId="0" xfId="0" applyNumberFormat="1" applyFont="1" applyFill="1" applyBorder="1"/>
    <xf numFmtId="0" fontId="60" fillId="0" borderId="0" xfId="0" applyFont="1" applyFill="1" applyBorder="1" applyAlignment="1">
      <alignment horizontal="center" vertical="center" wrapText="1"/>
    </xf>
    <xf numFmtId="4" fontId="53" fillId="11" borderId="0" xfId="0" applyNumberFormat="1" applyFont="1" applyFill="1" applyBorder="1"/>
    <xf numFmtId="4" fontId="53" fillId="0" borderId="0" xfId="0" applyNumberFormat="1" applyFont="1" applyBorder="1"/>
    <xf numFmtId="0" fontId="70" fillId="0" borderId="0" xfId="0" applyFont="1" applyFill="1" applyBorder="1" applyAlignment="1">
      <alignment horizontal="left" vertical="center" wrapText="1"/>
    </xf>
    <xf numFmtId="1" fontId="53" fillId="0" borderId="0" xfId="0" applyNumberFormat="1" applyFont="1" applyFill="1" applyBorder="1"/>
    <xf numFmtId="0" fontId="53" fillId="11" borderId="0" xfId="0" applyFont="1" applyFill="1" applyBorder="1"/>
    <xf numFmtId="0" fontId="60" fillId="0" borderId="0" xfId="0" applyFont="1" applyFill="1" applyBorder="1" applyAlignment="1">
      <alignment horizontal="left" vertical="center" wrapText="1"/>
    </xf>
    <xf numFmtId="0" fontId="63" fillId="11" borderId="0" xfId="0" applyFont="1" applyFill="1" applyBorder="1"/>
    <xf numFmtId="2" fontId="60" fillId="7" borderId="0" xfId="0" applyNumberFormat="1" applyFont="1" applyFill="1" applyBorder="1" applyAlignment="1">
      <alignment horizontal="center" vertical="center" wrapText="1"/>
    </xf>
    <xf numFmtId="10" fontId="53" fillId="0" borderId="0" xfId="0" applyNumberFormat="1" applyFont="1" applyBorder="1"/>
    <xf numFmtId="0" fontId="3" fillId="6" borderId="1" xfId="0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1" fontId="11" fillId="6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/>
    <xf numFmtId="0" fontId="48" fillId="6" borderId="20" xfId="0" applyFont="1" applyFill="1" applyBorder="1" applyAlignment="1">
      <alignment horizontal="center" wrapText="1"/>
    </xf>
    <xf numFmtId="0" fontId="49" fillId="6" borderId="1" xfId="0" applyFont="1" applyFill="1" applyBorder="1" applyAlignment="1">
      <alignment horizontal="center"/>
    </xf>
    <xf numFmtId="1" fontId="11" fillId="6" borderId="1" xfId="0" applyNumberFormat="1" applyFont="1" applyFill="1" applyBorder="1"/>
    <xf numFmtId="0" fontId="46" fillId="6" borderId="1" xfId="0" applyFont="1" applyFill="1" applyBorder="1"/>
    <xf numFmtId="3" fontId="11" fillId="6" borderId="1" xfId="0" applyNumberFormat="1" applyFont="1" applyFill="1" applyBorder="1" applyAlignment="1">
      <alignment horizontal="center" vertical="center" wrapText="1"/>
    </xf>
    <xf numFmtId="3" fontId="11" fillId="6" borderId="1" xfId="0" applyNumberFormat="1" applyFont="1" applyFill="1" applyBorder="1" applyAlignment="1">
      <alignment horizontal="left" vertical="center" wrapText="1"/>
    </xf>
    <xf numFmtId="1" fontId="11" fillId="6" borderId="1" xfId="0" applyNumberFormat="1" applyFont="1" applyFill="1" applyBorder="1" applyAlignment="1">
      <alignment horizontal="right" vertical="center" wrapText="1"/>
    </xf>
    <xf numFmtId="1" fontId="3" fillId="6" borderId="1" xfId="0" applyNumberFormat="1" applyFont="1" applyFill="1" applyBorder="1" applyAlignment="1">
      <alignment horizontal="center" vertical="center" wrapText="1"/>
    </xf>
    <xf numFmtId="0" fontId="12" fillId="6" borderId="0" xfId="0" applyFont="1" applyFill="1" applyAlignment="1">
      <alignment vertical="center" wrapText="1"/>
    </xf>
    <xf numFmtId="9" fontId="57" fillId="6" borderId="0" xfId="0" applyNumberFormat="1" applyFont="1" applyFill="1" applyAlignment="1">
      <alignment vertical="center" wrapText="1"/>
    </xf>
    <xf numFmtId="0" fontId="57" fillId="6" borderId="0" xfId="0" applyFont="1" applyFill="1" applyAlignment="1">
      <alignment vertical="center" wrapText="1"/>
    </xf>
    <xf numFmtId="0" fontId="37" fillId="6" borderId="0" xfId="0" applyFont="1" applyFill="1" applyBorder="1" applyAlignment="1">
      <alignment horizontal="center" vertical="center"/>
    </xf>
    <xf numFmtId="0" fontId="58" fillId="6" borderId="36" xfId="0" applyFont="1" applyFill="1" applyBorder="1" applyAlignment="1">
      <alignment horizontal="center"/>
    </xf>
    <xf numFmtId="0" fontId="58" fillId="6" borderId="0" xfId="0" applyFont="1" applyFill="1" applyAlignment="1">
      <alignment horizontal="center"/>
    </xf>
    <xf numFmtId="0" fontId="4" fillId="4" borderId="28" xfId="0" applyFont="1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39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2" fillId="0" borderId="0" xfId="0" applyFont="1" applyFill="1" applyAlignment="1">
      <alignment horizontal="right" vertical="center" wrapText="1"/>
    </xf>
    <xf numFmtId="0" fontId="17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9" fillId="4" borderId="23" xfId="0" applyFont="1" applyFill="1" applyBorder="1" applyAlignment="1">
      <alignment horizontal="center" vertical="center" wrapText="1"/>
    </xf>
    <xf numFmtId="0" fontId="19" fillId="4" borderId="26" xfId="0" applyFont="1" applyFill="1" applyBorder="1" applyAlignment="1">
      <alignment horizontal="center" vertical="center" wrapText="1"/>
    </xf>
    <xf numFmtId="0" fontId="19" fillId="4" borderId="27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4" borderId="36" xfId="0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center" vertical="center" wrapText="1"/>
    </xf>
    <xf numFmtId="0" fontId="19" fillId="0" borderId="7" xfId="0" applyFont="1" applyFill="1" applyBorder="1"/>
    <xf numFmtId="0" fontId="19" fillId="0" borderId="0" xfId="0" applyFont="1" applyFill="1" applyBorder="1"/>
    <xf numFmtId="0" fontId="21" fillId="0" borderId="29" xfId="0" applyFont="1" applyBorder="1" applyAlignment="1">
      <alignment vertical="center" wrapText="1"/>
    </xf>
    <xf numFmtId="0" fontId="19" fillId="4" borderId="13" xfId="0" applyFont="1" applyFill="1" applyBorder="1" applyAlignment="1">
      <alignment horizontal="center" vertical="center" wrapText="1"/>
    </xf>
    <xf numFmtId="0" fontId="20" fillId="5" borderId="30" xfId="0" applyFont="1" applyFill="1" applyBorder="1" applyAlignment="1">
      <alignment horizontal="center"/>
    </xf>
    <xf numFmtId="0" fontId="20" fillId="5" borderId="29" xfId="0" applyFont="1" applyFill="1" applyBorder="1" applyAlignment="1">
      <alignment horizontal="center"/>
    </xf>
    <xf numFmtId="0" fontId="20" fillId="4" borderId="36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center" vertical="center" wrapText="1"/>
    </xf>
    <xf numFmtId="0" fontId="20" fillId="4" borderId="36" xfId="0" applyFont="1" applyFill="1" applyBorder="1" applyAlignment="1">
      <alignment horizontal="center" vertical="justify" wrapText="1"/>
    </xf>
    <xf numFmtId="0" fontId="20" fillId="4" borderId="0" xfId="0" applyFont="1" applyFill="1" applyBorder="1" applyAlignment="1">
      <alignment horizontal="center" vertical="justify" wrapText="1"/>
    </xf>
    <xf numFmtId="0" fontId="20" fillId="4" borderId="30" xfId="0" applyFont="1" applyFill="1" applyBorder="1" applyAlignment="1">
      <alignment horizontal="center" wrapText="1"/>
    </xf>
    <xf numFmtId="0" fontId="20" fillId="4" borderId="29" xfId="0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28" xfId="0" applyFont="1" applyFill="1" applyBorder="1" applyAlignment="1">
      <alignment horizontal="center" vertical="center" wrapText="1"/>
    </xf>
    <xf numFmtId="0" fontId="11" fillId="4" borderId="31" xfId="0" applyFont="1" applyFill="1" applyBorder="1" applyAlignment="1">
      <alignment horizontal="center" vertical="center" wrapText="1"/>
    </xf>
    <xf numFmtId="0" fontId="11" fillId="4" borderId="32" xfId="0" applyFont="1" applyFill="1" applyBorder="1" applyAlignment="1">
      <alignment horizontal="center" vertical="center" wrapText="1"/>
    </xf>
    <xf numFmtId="0" fontId="11" fillId="4" borderId="33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11" fillId="4" borderId="2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52" fillId="0" borderId="0" xfId="0" applyFont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45" fillId="0" borderId="0" xfId="0" applyFont="1" applyAlignment="1">
      <alignment wrapText="1"/>
    </xf>
    <xf numFmtId="0" fontId="3" fillId="0" borderId="0" xfId="0" applyFont="1" applyFill="1" applyBorder="1" applyAlignment="1">
      <alignment horizontal="left" vertical="center" wrapText="1"/>
    </xf>
    <xf numFmtId="0" fontId="28" fillId="9" borderId="1" xfId="0" applyFont="1" applyFill="1" applyBorder="1" applyAlignment="1">
      <alignment horizontal="left" vertical="center"/>
    </xf>
    <xf numFmtId="0" fontId="16" fillId="6" borderId="21" xfId="0" applyFont="1" applyFill="1" applyBorder="1" applyAlignment="1">
      <alignment horizontal="center" vertical="center" wrapText="1"/>
    </xf>
    <xf numFmtId="0" fontId="16" fillId="6" borderId="12" xfId="0" applyFont="1" applyFill="1" applyBorder="1" applyAlignment="1">
      <alignment horizontal="center" vertical="center" wrapText="1"/>
    </xf>
    <xf numFmtId="0" fontId="16" fillId="6" borderId="20" xfId="0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28" fillId="9" borderId="23" xfId="0" applyFont="1" applyFill="1" applyBorder="1" applyAlignment="1">
      <alignment horizontal="left" vertical="center"/>
    </xf>
    <xf numFmtId="0" fontId="28" fillId="9" borderId="26" xfId="0" applyFont="1" applyFill="1" applyBorder="1" applyAlignment="1">
      <alignment horizontal="left" vertical="center"/>
    </xf>
    <xf numFmtId="0" fontId="28" fillId="9" borderId="27" xfId="0" applyFont="1" applyFill="1" applyBorder="1" applyAlignment="1">
      <alignment horizontal="left" vertical="center"/>
    </xf>
    <xf numFmtId="0" fontId="16" fillId="3" borderId="1" xfId="0" applyFont="1" applyFill="1" applyBorder="1" applyAlignment="1">
      <alignment horizontal="center" vertical="center" wrapText="1"/>
    </xf>
    <xf numFmtId="0" fontId="33" fillId="0" borderId="21" xfId="0" applyFont="1" applyBorder="1" applyAlignment="1">
      <alignment horizontal="center" vertical="center"/>
    </xf>
    <xf numFmtId="0" fontId="33" fillId="0" borderId="12" xfId="0" applyFont="1" applyBorder="1" applyAlignment="1">
      <alignment horizontal="center" vertical="center"/>
    </xf>
    <xf numFmtId="0" fontId="33" fillId="0" borderId="20" xfId="0" applyFont="1" applyBorder="1" applyAlignment="1">
      <alignment horizontal="center" vertical="center"/>
    </xf>
    <xf numFmtId="49" fontId="16" fillId="0" borderId="21" xfId="0" applyNumberFormat="1" applyFont="1" applyBorder="1" applyAlignment="1">
      <alignment horizontal="center" vertical="center" wrapText="1"/>
    </xf>
    <xf numFmtId="49" fontId="16" fillId="0" borderId="12" xfId="0" applyNumberFormat="1" applyFont="1" applyBorder="1" applyAlignment="1">
      <alignment horizontal="center" vertical="center" wrapText="1"/>
    </xf>
    <xf numFmtId="0" fontId="16" fillId="6" borderId="21" xfId="0" applyFont="1" applyFill="1" applyBorder="1" applyAlignment="1">
      <alignment horizontal="center" vertical="center"/>
    </xf>
    <xf numFmtId="0" fontId="16" fillId="6" borderId="12" xfId="0" applyFont="1" applyFill="1" applyBorder="1" applyAlignment="1">
      <alignment horizontal="center" vertical="center"/>
    </xf>
    <xf numFmtId="0" fontId="16" fillId="6" borderId="20" xfId="0" applyFont="1" applyFill="1" applyBorder="1" applyAlignment="1">
      <alignment horizontal="center" vertical="center"/>
    </xf>
    <xf numFmtId="0" fontId="33" fillId="0" borderId="1" xfId="0" applyFont="1" applyBorder="1"/>
    <xf numFmtId="0" fontId="16" fillId="0" borderId="12" xfId="0" applyFont="1" applyFill="1" applyBorder="1" applyAlignment="1">
      <alignment horizontal="center" vertical="center" wrapText="1"/>
    </xf>
    <xf numFmtId="0" fontId="42" fillId="0" borderId="21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42" fillId="0" borderId="20" xfId="0" applyFont="1" applyBorder="1" applyAlignment="1">
      <alignment horizontal="center" vertical="center" wrapText="1"/>
    </xf>
    <xf numFmtId="0" fontId="16" fillId="0" borderId="23" xfId="0" applyFont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7" xfId="0" applyBorder="1" applyAlignment="1">
      <alignment wrapText="1"/>
    </xf>
    <xf numFmtId="0" fontId="16" fillId="0" borderId="1" xfId="0" applyFont="1" applyBorder="1" applyAlignment="1"/>
    <xf numFmtId="0" fontId="42" fillId="0" borderId="1" xfId="0" applyFont="1" applyBorder="1" applyAlignment="1"/>
    <xf numFmtId="0" fontId="16" fillId="0" borderId="21" xfId="0" applyFont="1" applyBorder="1" applyAlignment="1">
      <alignment horizontal="center" vertical="center" wrapText="1"/>
    </xf>
    <xf numFmtId="0" fontId="42" fillId="6" borderId="21" xfId="0" applyFont="1" applyFill="1" applyBorder="1" applyAlignment="1">
      <alignment horizontal="center" vertical="center" wrapText="1"/>
    </xf>
    <xf numFmtId="0" fontId="42" fillId="6" borderId="12" xfId="0" applyFont="1" applyFill="1" applyBorder="1" applyAlignment="1">
      <alignment horizontal="center" vertical="center" wrapText="1"/>
    </xf>
    <xf numFmtId="0" fontId="42" fillId="6" borderId="20" xfId="0" applyFont="1" applyFill="1" applyBorder="1" applyAlignment="1">
      <alignment horizontal="center" vertical="center" wrapText="1"/>
    </xf>
    <xf numFmtId="0" fontId="42" fillId="0" borderId="23" xfId="0" applyFont="1" applyBorder="1" applyAlignment="1">
      <alignment horizontal="left" vertical="center" wrapText="1"/>
    </xf>
    <xf numFmtId="0" fontId="16" fillId="0" borderId="27" xfId="0" applyFont="1" applyBorder="1" applyAlignment="1">
      <alignment horizontal="left"/>
    </xf>
    <xf numFmtId="0" fontId="42" fillId="0" borderId="21" xfId="0" applyFont="1" applyFill="1" applyBorder="1" applyAlignment="1">
      <alignment horizontal="center" vertical="center" wrapText="1"/>
    </xf>
    <xf numFmtId="0" fontId="42" fillId="0" borderId="12" xfId="0" applyFont="1" applyFill="1" applyBorder="1" applyAlignment="1">
      <alignment horizontal="center" vertical="center" wrapText="1"/>
    </xf>
    <xf numFmtId="0" fontId="42" fillId="0" borderId="20" xfId="0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center" vertical="center"/>
    </xf>
    <xf numFmtId="0" fontId="42" fillId="0" borderId="12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 wrapText="1"/>
    </xf>
    <xf numFmtId="0" fontId="42" fillId="6" borderId="1" xfId="0" applyFont="1" applyFill="1" applyBorder="1" applyAlignment="1">
      <alignment horizontal="center" vertical="center"/>
    </xf>
    <xf numFmtId="0" fontId="42" fillId="6" borderId="1" xfId="0" applyFont="1" applyFill="1" applyBorder="1" applyAlignment="1">
      <alignment horizontal="center" vertical="center" wrapText="1"/>
    </xf>
    <xf numFmtId="0" fontId="16" fillId="0" borderId="21" xfId="0" applyFont="1" applyBorder="1" applyAlignment="1"/>
    <xf numFmtId="0" fontId="16" fillId="0" borderId="12" xfId="0" applyFont="1" applyBorder="1" applyAlignment="1"/>
    <xf numFmtId="0" fontId="16" fillId="0" borderId="20" xfId="0" applyFont="1" applyBorder="1" applyAlignment="1"/>
    <xf numFmtId="0" fontId="16" fillId="0" borderId="1" xfId="0" applyFont="1" applyBorder="1"/>
    <xf numFmtId="0" fontId="42" fillId="0" borderId="2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42" fillId="0" borderId="12" xfId="0" applyFont="1" applyBorder="1" applyAlignment="1">
      <alignment wrapText="1"/>
    </xf>
    <xf numFmtId="0" fontId="42" fillId="0" borderId="20" xfId="0" applyFont="1" applyBorder="1" applyAlignment="1">
      <alignment wrapText="1"/>
    </xf>
    <xf numFmtId="0" fontId="16" fillId="6" borderId="21" xfId="0" applyFont="1" applyFill="1" applyBorder="1" applyAlignment="1">
      <alignment wrapText="1"/>
    </xf>
    <xf numFmtId="0" fontId="42" fillId="6" borderId="12" xfId="0" applyFont="1" applyFill="1" applyBorder="1" applyAlignment="1"/>
    <xf numFmtId="0" fontId="42" fillId="6" borderId="20" xfId="0" applyFont="1" applyFill="1" applyBorder="1" applyAlignment="1"/>
    <xf numFmtId="0" fontId="16" fillId="0" borderId="21" xfId="0" applyFont="1" applyBorder="1" applyAlignment="1">
      <alignment wrapText="1"/>
    </xf>
    <xf numFmtId="0" fontId="30" fillId="0" borderId="0" xfId="0" applyFont="1" applyAlignment="1">
      <alignment horizontal="right" vertical="center" wrapText="1"/>
    </xf>
    <xf numFmtId="0" fontId="0" fillId="0" borderId="0" xfId="0" applyAlignment="1"/>
    <xf numFmtId="0" fontId="16" fillId="3" borderId="23" xfId="0" applyFont="1" applyFill="1" applyBorder="1" applyAlignment="1">
      <alignment horizontal="center" vertical="center" wrapText="1"/>
    </xf>
    <xf numFmtId="0" fontId="16" fillId="3" borderId="27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36" fillId="4" borderId="21" xfId="0" applyFont="1" applyFill="1" applyBorder="1" applyAlignment="1">
      <alignment horizontal="center" vertical="center" wrapText="1"/>
    </xf>
    <xf numFmtId="0" fontId="36" fillId="4" borderId="20" xfId="0" applyFont="1" applyFill="1" applyBorder="1" applyAlignment="1">
      <alignment horizontal="center" vertical="center" wrapText="1"/>
    </xf>
    <xf numFmtId="0" fontId="36" fillId="4" borderId="1" xfId="0" applyFont="1" applyFill="1" applyBorder="1" applyAlignment="1">
      <alignment horizontal="center" vertical="center" wrapText="1"/>
    </xf>
    <xf numFmtId="0" fontId="33" fillId="0" borderId="21" xfId="0" applyFont="1" applyBorder="1" applyAlignment="1">
      <alignment horizontal="center"/>
    </xf>
    <xf numFmtId="0" fontId="33" fillId="0" borderId="12" xfId="0" applyFont="1" applyBorder="1" applyAlignment="1">
      <alignment horizontal="center"/>
    </xf>
    <xf numFmtId="0" fontId="33" fillId="0" borderId="20" xfId="0" applyFont="1" applyBorder="1" applyAlignment="1">
      <alignment horizontal="center"/>
    </xf>
    <xf numFmtId="0" fontId="16" fillId="0" borderId="21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50" fillId="6" borderId="21" xfId="0" applyFont="1" applyFill="1" applyBorder="1" applyAlignment="1">
      <alignment horizontal="center" vertical="center" wrapText="1"/>
    </xf>
    <xf numFmtId="0" fontId="50" fillId="6" borderId="12" xfId="0" applyFont="1" applyFill="1" applyBorder="1" applyAlignment="1">
      <alignment horizontal="center" vertical="center" wrapText="1"/>
    </xf>
    <xf numFmtId="0" fontId="50" fillId="6" borderId="20" xfId="0" applyFont="1" applyFill="1" applyBorder="1" applyAlignment="1">
      <alignment horizontal="center" vertical="center" wrapText="1"/>
    </xf>
    <xf numFmtId="0" fontId="50" fillId="0" borderId="21" xfId="0" applyFont="1" applyBorder="1" applyAlignment="1">
      <alignment horizontal="center" vertical="center" wrapText="1"/>
    </xf>
    <xf numFmtId="0" fontId="50" fillId="0" borderId="12" xfId="0" applyFont="1" applyBorder="1" applyAlignment="1">
      <alignment horizontal="center" vertical="center" wrapText="1"/>
    </xf>
    <xf numFmtId="0" fontId="50" fillId="0" borderId="20" xfId="0" applyFont="1" applyBorder="1" applyAlignment="1">
      <alignment horizontal="center" vertical="center" wrapText="1"/>
    </xf>
    <xf numFmtId="4" fontId="0" fillId="0" borderId="0" xfId="0" applyNumberFormat="1"/>
    <xf numFmtId="166" fontId="0" fillId="0" borderId="0" xfId="0" applyNumberFormat="1"/>
    <xf numFmtId="4" fontId="11" fillId="6" borderId="16" xfId="0" applyNumberFormat="1" applyFont="1" applyFill="1" applyBorder="1" applyAlignment="1">
      <alignment horizontal="center" vertical="center" wrapText="1"/>
    </xf>
    <xf numFmtId="4" fontId="11" fillId="6" borderId="2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colors>
    <mruColors>
      <color rgb="FF00FF99"/>
      <color rgb="FFCCFFFF"/>
      <color rgb="FFFFFFCC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69;/&#1054;&#1088;&#1083;&#1086;&#1074;&#1072;%20&#1070;.&#1040;/&#1040;&#1085;&#1072;&#1083;&#1080;&#1090;&#1080;&#1095;&#1077;&#1089;&#1082;&#1080;&#1081;%20&#1086;&#1090;&#1095;&#1077;&#1090;/&#1089;&#1095;&#1077;&#1090;%20&#1074;%20&#1086;&#1090;&#1095;&#1077;&#1090;%20&#1091;&#1090;&#1086;&#1095;&#1085;&#1077;&#1085;&#1085;&#1099;&#108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69;/&#1054;&#1088;&#1083;&#1086;&#1074;&#1072;%20&#1070;.&#1040;/&#1040;&#1085;&#1072;&#1083;&#1080;&#1090;&#1080;&#1095;&#1077;&#1089;&#1082;&#1080;&#1081;%20&#1086;&#1090;&#1095;&#1077;&#1090;/2023/&#1075;&#1086;&#1076;/!%20&#1054;&#1090;&#1095;&#1077;&#1090;/&#1040;&#1085;&#1072;&#1083;&#1080;&#1090;&#1080;&#1095;&#1077;&#1089;&#1082;&#1080;&#1081;%20&#1086;&#1090;&#1095;&#1077;&#1090;%20&#1079;&#1072;%20%20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ручка"/>
      <sheetName val="Стат с 2008"/>
      <sheetName val="Лист3"/>
    </sheetNames>
    <sheetDataSet>
      <sheetData sheetId="0">
        <row r="15">
          <cell r="AQ15">
            <v>2421.4568243375415</v>
          </cell>
          <cell r="AU15">
            <v>2486.9192897679723</v>
          </cell>
          <cell r="AY15">
            <v>2545.8335454655944</v>
          </cell>
          <cell r="BC15">
            <v>2595.0511894025867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т.отчет"/>
      <sheetName val="Диагностика"/>
      <sheetName val="Расчет ИФО"/>
    </sheetNames>
    <sheetDataSet>
      <sheetData sheetId="0"/>
      <sheetData sheetId="1">
        <row r="28">
          <cell r="AL28">
            <v>5067.339962456811</v>
          </cell>
        </row>
        <row r="29">
          <cell r="AL29">
            <v>6631.1406630970141</v>
          </cell>
        </row>
        <row r="30">
          <cell r="AL30">
            <v>967.04957992157256</v>
          </cell>
        </row>
        <row r="31">
          <cell r="AL31">
            <v>396.58006082412766</v>
          </cell>
        </row>
        <row r="32">
          <cell r="AL32">
            <v>63.545417900295682</v>
          </cell>
        </row>
        <row r="33">
          <cell r="AL33">
            <v>31.594816809253828</v>
          </cell>
        </row>
        <row r="34">
          <cell r="AL34">
            <v>26.756441374889476</v>
          </cell>
        </row>
        <row r="35">
          <cell r="AL35">
            <v>2.1230576160359629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indexed="50"/>
  </sheetPr>
  <dimension ref="A1:O168"/>
  <sheetViews>
    <sheetView view="pageBreakPreview" zoomScale="75" zoomScaleNormal="75" zoomScaleSheetLayoutView="75" workbookViewId="0">
      <pane ySplit="6" topLeftCell="A7" activePane="bottomLeft" state="frozen"/>
      <selection pane="bottomLeft" activeCell="E164" sqref="E164"/>
    </sheetView>
  </sheetViews>
  <sheetFormatPr defaultRowHeight="18.75" x14ac:dyDescent="0.3"/>
  <cols>
    <col min="1" max="1" width="74.7109375" customWidth="1"/>
    <col min="2" max="2" width="15.140625" customWidth="1"/>
    <col min="3" max="3" width="14.140625" style="184" customWidth="1"/>
    <col min="4" max="4" width="13" customWidth="1"/>
    <col min="5" max="5" width="18.42578125" customWidth="1"/>
    <col min="6" max="6" width="17.140625" customWidth="1"/>
    <col min="7" max="7" width="18.85546875" customWidth="1"/>
    <col min="8" max="8" width="16.42578125" customWidth="1"/>
    <col min="9" max="9" width="16.42578125" bestFit="1" customWidth="1"/>
    <col min="10" max="10" width="10.42578125" style="195" customWidth="1"/>
    <col min="11" max="11" width="11" style="195" customWidth="1"/>
    <col min="12" max="12" width="10.7109375" style="195" customWidth="1"/>
    <col min="13" max="14" width="9.140625" style="195" customWidth="1"/>
    <col min="15" max="16" width="9.140625" customWidth="1"/>
  </cols>
  <sheetData>
    <row r="1" spans="1:14" ht="51" customHeight="1" x14ac:dyDescent="0.2">
      <c r="A1" s="381" t="s">
        <v>432</v>
      </c>
      <c r="B1" s="381"/>
      <c r="C1" s="381"/>
      <c r="D1" s="381"/>
      <c r="E1" s="381"/>
      <c r="F1" s="381"/>
      <c r="G1" s="381"/>
      <c r="H1" s="381"/>
      <c r="I1" s="381"/>
    </row>
    <row r="2" spans="1:14" ht="14.25" customHeight="1" x14ac:dyDescent="0.2">
      <c r="A2" s="149"/>
      <c r="B2" s="149"/>
      <c r="C2" s="186"/>
      <c r="D2" s="149"/>
      <c r="E2" s="149"/>
      <c r="F2" s="149"/>
      <c r="G2" s="149"/>
      <c r="H2" s="32"/>
      <c r="I2" s="32"/>
    </row>
    <row r="3" spans="1:14" ht="21" customHeight="1" x14ac:dyDescent="0.25">
      <c r="A3" s="380" t="s">
        <v>3</v>
      </c>
      <c r="B3" s="382" t="s">
        <v>4</v>
      </c>
      <c r="C3" s="380" t="s">
        <v>408</v>
      </c>
      <c r="D3" s="380" t="s">
        <v>427</v>
      </c>
      <c r="E3" s="380" t="s">
        <v>430</v>
      </c>
      <c r="F3" s="380" t="s">
        <v>59</v>
      </c>
      <c r="G3" s="380"/>
      <c r="H3" s="380"/>
      <c r="I3" s="380"/>
      <c r="J3" s="373" t="s">
        <v>445</v>
      </c>
      <c r="K3" s="374"/>
      <c r="L3" s="374"/>
      <c r="M3" s="374"/>
      <c r="N3" s="374"/>
    </row>
    <row r="4" spans="1:14" ht="33" customHeight="1" x14ac:dyDescent="0.2">
      <c r="A4" s="380"/>
      <c r="B4" s="382"/>
      <c r="C4" s="380"/>
      <c r="D4" s="380"/>
      <c r="E4" s="380"/>
      <c r="F4" s="380" t="s">
        <v>388</v>
      </c>
      <c r="G4" s="380"/>
      <c r="H4" s="380" t="s">
        <v>409</v>
      </c>
      <c r="I4" s="380" t="s">
        <v>431</v>
      </c>
      <c r="K4" s="195" t="s">
        <v>428</v>
      </c>
      <c r="L4" s="195" t="s">
        <v>429</v>
      </c>
    </row>
    <row r="5" spans="1:14" ht="55.5" customHeight="1" x14ac:dyDescent="0.2">
      <c r="A5" s="380"/>
      <c r="B5" s="382"/>
      <c r="C5" s="380"/>
      <c r="D5" s="380"/>
      <c r="E5" s="380"/>
      <c r="F5" s="191" t="s">
        <v>389</v>
      </c>
      <c r="G5" s="191" t="s">
        <v>390</v>
      </c>
      <c r="H5" s="380"/>
      <c r="I5" s="380"/>
      <c r="J5" s="195">
        <v>2024</v>
      </c>
      <c r="K5" s="195">
        <v>2025</v>
      </c>
      <c r="L5" s="195">
        <v>2025</v>
      </c>
      <c r="M5" s="195">
        <v>2026</v>
      </c>
      <c r="N5" s="195">
        <v>2027</v>
      </c>
    </row>
    <row r="6" spans="1:14" x14ac:dyDescent="0.2">
      <c r="A6" s="375" t="s">
        <v>5</v>
      </c>
      <c r="B6" s="376"/>
      <c r="C6" s="376"/>
      <c r="D6" s="376"/>
      <c r="E6" s="376"/>
      <c r="F6" s="376"/>
      <c r="G6" s="376"/>
      <c r="H6" s="376"/>
      <c r="I6" s="376"/>
      <c r="J6" s="214" t="s">
        <v>415</v>
      </c>
    </row>
    <row r="7" spans="1:14" ht="39" x14ac:dyDescent="0.2">
      <c r="A7" s="34" t="s">
        <v>72</v>
      </c>
      <c r="B7" s="51" t="s">
        <v>6</v>
      </c>
      <c r="C7" s="232">
        <v>12184.12</v>
      </c>
      <c r="D7" s="232">
        <f>'Прил 2 Прогноз по поселениям'!C16</f>
        <v>12143.479999999998</v>
      </c>
      <c r="E7" s="232">
        <f>'Прил 2 Прогноз по поселениям'!D16</f>
        <v>13186.130000000001</v>
      </c>
      <c r="F7" s="232">
        <f>E7*K7</f>
        <v>13871.808760000002</v>
      </c>
      <c r="G7" s="232">
        <f>'Прил 2 Прогноз по поселениям'!E16</f>
        <v>13818.245000000001</v>
      </c>
      <c r="H7" s="232">
        <f>'Прил 2 Прогноз по поселениям'!F16</f>
        <v>14329.4696</v>
      </c>
      <c r="I7" s="232">
        <f>'Прил 2 Прогноз по поселениям'!G16</f>
        <v>15128.392379999999</v>
      </c>
      <c r="J7" s="215">
        <v>1.0660000000000001</v>
      </c>
      <c r="K7" s="215">
        <v>1.052</v>
      </c>
      <c r="L7" s="215">
        <v>1.0469999999999999</v>
      </c>
      <c r="M7" s="216">
        <v>1.04</v>
      </c>
      <c r="N7" s="216">
        <v>1.04</v>
      </c>
    </row>
    <row r="8" spans="1:14" x14ac:dyDescent="0.2">
      <c r="A8" s="85" t="s">
        <v>7</v>
      </c>
      <c r="B8" s="57"/>
      <c r="C8" s="233"/>
      <c r="D8" s="234"/>
      <c r="E8" s="234"/>
      <c r="F8" s="234"/>
      <c r="G8" s="234"/>
      <c r="H8" s="234"/>
      <c r="I8" s="234"/>
    </row>
    <row r="9" spans="1:14" ht="37.5" x14ac:dyDescent="0.2">
      <c r="A9" s="59" t="s">
        <v>135</v>
      </c>
      <c r="B9" s="52" t="s">
        <v>6</v>
      </c>
      <c r="C9" s="193">
        <v>35.590000000000003</v>
      </c>
      <c r="D9" s="193">
        <v>20.221</v>
      </c>
      <c r="E9" s="193">
        <f>D9*J9</f>
        <v>22.061111</v>
      </c>
      <c r="F9" s="235">
        <f>G9</f>
        <v>23.120044328000002</v>
      </c>
      <c r="G9" s="193">
        <f>E9*L9</f>
        <v>23.120044328000002</v>
      </c>
      <c r="H9" s="193">
        <f>G9*M9</f>
        <v>24.021726056792001</v>
      </c>
      <c r="I9" s="193">
        <f>H9*N9</f>
        <v>24.934551646950098</v>
      </c>
      <c r="J9" s="217">
        <v>1.091</v>
      </c>
      <c r="L9" s="217">
        <v>1.048</v>
      </c>
      <c r="M9" s="217">
        <v>1.0389999999999999</v>
      </c>
      <c r="N9" s="217">
        <v>1.038</v>
      </c>
    </row>
    <row r="10" spans="1:14" ht="37.5" x14ac:dyDescent="0.3">
      <c r="A10" s="60" t="s">
        <v>136</v>
      </c>
      <c r="B10" s="52" t="s">
        <v>6</v>
      </c>
      <c r="C10" s="193"/>
      <c r="D10" s="193"/>
      <c r="E10" s="193"/>
      <c r="F10" s="192"/>
      <c r="G10" s="193"/>
      <c r="H10" s="193"/>
      <c r="I10" s="193"/>
    </row>
    <row r="11" spans="1:14" x14ac:dyDescent="0.3">
      <c r="A11" s="61" t="s">
        <v>137</v>
      </c>
      <c r="B11" s="52" t="s">
        <v>6</v>
      </c>
      <c r="C11" s="193"/>
      <c r="D11" s="193"/>
      <c r="E11" s="193"/>
      <c r="F11" s="192"/>
      <c r="G11" s="193"/>
      <c r="H11" s="193"/>
      <c r="I11" s="193"/>
    </row>
    <row r="12" spans="1:14" x14ac:dyDescent="0.3">
      <c r="A12" s="61" t="s">
        <v>138</v>
      </c>
      <c r="B12" s="52" t="s">
        <v>6</v>
      </c>
      <c r="C12" s="193"/>
      <c r="D12" s="193"/>
      <c r="E12" s="193"/>
      <c r="F12" s="192"/>
      <c r="G12" s="193"/>
      <c r="H12" s="193"/>
      <c r="I12" s="193"/>
    </row>
    <row r="13" spans="1:14" x14ac:dyDescent="0.3">
      <c r="A13" s="61" t="s">
        <v>42</v>
      </c>
      <c r="B13" s="52" t="s">
        <v>6</v>
      </c>
      <c r="C13" s="193">
        <v>405.09699999999998</v>
      </c>
      <c r="D13" s="193">
        <v>413.19900000000001</v>
      </c>
      <c r="E13" s="193">
        <f>D13*J13</f>
        <v>441.70973099999998</v>
      </c>
      <c r="F13" s="192">
        <f t="shared" ref="F13:F20" si="0">G13</f>
        <v>462.91179808800001</v>
      </c>
      <c r="G13" s="193">
        <f>E13*L13</f>
        <v>462.91179808800001</v>
      </c>
      <c r="H13" s="193">
        <f>G13*M13</f>
        <v>478.18788742490398</v>
      </c>
      <c r="I13" s="193">
        <f t="shared" ref="H13:I19" si="1">H13*N13</f>
        <v>490.62077249795146</v>
      </c>
      <c r="J13" s="217">
        <v>1.069</v>
      </c>
      <c r="L13" s="217">
        <v>1.048</v>
      </c>
      <c r="M13" s="218">
        <v>1.0329999999999999</v>
      </c>
      <c r="N13" s="217">
        <v>1.026</v>
      </c>
    </row>
    <row r="14" spans="1:14" x14ac:dyDescent="0.3">
      <c r="A14" s="61" t="s">
        <v>43</v>
      </c>
      <c r="B14" s="52" t="s">
        <v>6</v>
      </c>
      <c r="C14" s="193">
        <v>753.85199999999998</v>
      </c>
      <c r="D14" s="193">
        <v>829.23699999999997</v>
      </c>
      <c r="E14" s="193">
        <f t="shared" ref="E14:E18" si="2">D14*J14</f>
        <v>908.01451499999996</v>
      </c>
      <c r="F14" s="192">
        <f t="shared" si="0"/>
        <v>949.78318268999999</v>
      </c>
      <c r="G14" s="193">
        <f t="shared" ref="G14:G18" si="3">E14*L14</f>
        <v>949.78318268999999</v>
      </c>
      <c r="H14" s="193">
        <f t="shared" si="1"/>
        <v>985.87494363222004</v>
      </c>
      <c r="I14" s="193">
        <f t="shared" si="1"/>
        <v>1021.36644160298</v>
      </c>
      <c r="J14" s="217">
        <v>1.095</v>
      </c>
      <c r="L14" s="217">
        <v>1.046</v>
      </c>
      <c r="M14" s="218">
        <v>1.038</v>
      </c>
      <c r="N14" s="217">
        <v>1.036</v>
      </c>
    </row>
    <row r="15" spans="1:14" ht="40.5" customHeight="1" x14ac:dyDescent="0.2">
      <c r="A15" s="60" t="s">
        <v>139</v>
      </c>
      <c r="B15" s="52" t="s">
        <v>6</v>
      </c>
      <c r="C15" s="193">
        <v>721.005</v>
      </c>
      <c r="D15" s="193">
        <v>753.45</v>
      </c>
      <c r="E15" s="193">
        <f t="shared" si="2"/>
        <v>797.15010000000007</v>
      </c>
      <c r="F15" s="235">
        <f>G15</f>
        <v>840.99335550000001</v>
      </c>
      <c r="G15" s="193">
        <f t="shared" si="3"/>
        <v>840.99335550000001</v>
      </c>
      <c r="H15" s="193">
        <f t="shared" si="1"/>
        <v>872.11010965349999</v>
      </c>
      <c r="I15" s="193">
        <f>H15*N15</f>
        <v>905.25029382033301</v>
      </c>
      <c r="J15" s="217">
        <v>1.0580000000000001</v>
      </c>
      <c r="L15" s="217">
        <v>1.0549999999999999</v>
      </c>
      <c r="M15" s="217">
        <v>1.0369999999999999</v>
      </c>
      <c r="N15" s="217">
        <v>1.038</v>
      </c>
    </row>
    <row r="16" spans="1:14" ht="37.5" customHeight="1" x14ac:dyDescent="0.2">
      <c r="A16" s="59" t="s">
        <v>140</v>
      </c>
      <c r="B16" s="52" t="s">
        <v>6</v>
      </c>
      <c r="C16" s="193">
        <v>131.13499999999999</v>
      </c>
      <c r="D16" s="193">
        <v>91.206999999999994</v>
      </c>
      <c r="E16" s="193">
        <f t="shared" si="2"/>
        <v>97.317868999999988</v>
      </c>
      <c r="F16" s="236">
        <f t="shared" si="0"/>
        <v>104.42207343699998</v>
      </c>
      <c r="G16" s="193">
        <f t="shared" si="3"/>
        <v>104.42207343699998</v>
      </c>
      <c r="H16" s="193">
        <f t="shared" si="1"/>
        <v>108.49453430104298</v>
      </c>
      <c r="I16" s="193">
        <f t="shared" si="1"/>
        <v>112.72582113878364</v>
      </c>
      <c r="J16" s="217">
        <v>1.0669999999999999</v>
      </c>
      <c r="L16" s="217">
        <v>1.073</v>
      </c>
      <c r="M16" s="217">
        <v>1.0389999999999999</v>
      </c>
      <c r="N16" s="217">
        <v>1.0389999999999999</v>
      </c>
    </row>
    <row r="17" spans="1:15" x14ac:dyDescent="0.2">
      <c r="A17" s="61" t="s">
        <v>12</v>
      </c>
      <c r="B17" s="52" t="s">
        <v>6</v>
      </c>
      <c r="C17" s="193">
        <v>1168.711</v>
      </c>
      <c r="D17" s="193">
        <v>962.77099999999996</v>
      </c>
      <c r="E17" s="193">
        <f t="shared" si="2"/>
        <v>1024.388344</v>
      </c>
      <c r="F17" s="236">
        <f t="shared" si="0"/>
        <v>1081.754091264</v>
      </c>
      <c r="G17" s="193">
        <f t="shared" si="3"/>
        <v>1081.754091264</v>
      </c>
      <c r="H17" s="193">
        <f t="shared" si="1"/>
        <v>1139.087058100992</v>
      </c>
      <c r="I17" s="193">
        <f t="shared" si="1"/>
        <v>1190.3459757155365</v>
      </c>
      <c r="J17" s="217">
        <v>1.0640000000000001</v>
      </c>
      <c r="L17" s="217">
        <v>1.056</v>
      </c>
      <c r="M17" s="217">
        <v>1.0529999999999999</v>
      </c>
      <c r="N17" s="217">
        <v>1.0449999999999999</v>
      </c>
    </row>
    <row r="18" spans="1:15" ht="37.5" x14ac:dyDescent="0.2">
      <c r="A18" s="59" t="s">
        <v>141</v>
      </c>
      <c r="B18" s="52" t="s">
        <v>6</v>
      </c>
      <c r="C18" s="193">
        <v>4465.9139999999998</v>
      </c>
      <c r="D18" s="193">
        <v>5637.165</v>
      </c>
      <c r="E18" s="193">
        <f t="shared" si="2"/>
        <v>6071.226705</v>
      </c>
      <c r="F18" s="236">
        <f t="shared" si="0"/>
        <v>6362.6455868399999</v>
      </c>
      <c r="G18" s="193">
        <f t="shared" si="3"/>
        <v>6362.6455868399999</v>
      </c>
      <c r="H18" s="193">
        <f t="shared" si="1"/>
        <v>6610.7887647267589</v>
      </c>
      <c r="I18" s="193">
        <f t="shared" si="1"/>
        <v>6815.7232164332881</v>
      </c>
      <c r="J18" s="215">
        <v>1.077</v>
      </c>
      <c r="K18" s="214"/>
      <c r="L18" s="215">
        <v>1.048</v>
      </c>
      <c r="M18" s="215">
        <v>1.0389999999999999</v>
      </c>
      <c r="N18" s="215">
        <v>1.0309999999999999</v>
      </c>
      <c r="O18" s="194"/>
    </row>
    <row r="19" spans="1:15" x14ac:dyDescent="0.2">
      <c r="A19" s="61" t="s">
        <v>170</v>
      </c>
      <c r="B19" s="52" t="s">
        <v>6</v>
      </c>
      <c r="C19" s="193">
        <v>2776.4090000000001</v>
      </c>
      <c r="D19" s="193">
        <v>2902</v>
      </c>
      <c r="E19" s="193">
        <v>2001.796</v>
      </c>
      <c r="F19" s="236">
        <f>G19</f>
        <v>2119.9019640000001</v>
      </c>
      <c r="G19" s="193">
        <f>E19*L19</f>
        <v>2119.9019640000001</v>
      </c>
      <c r="H19" s="193">
        <f>G19*M19</f>
        <v>2213.1776504160002</v>
      </c>
      <c r="I19" s="193">
        <f t="shared" si="1"/>
        <v>2306.1311117334722</v>
      </c>
      <c r="J19" s="217">
        <v>1.0860000000000001</v>
      </c>
      <c r="L19" s="217">
        <v>1.0589999999999999</v>
      </c>
      <c r="M19" s="217">
        <v>1.044</v>
      </c>
      <c r="N19" s="217">
        <v>1.042</v>
      </c>
    </row>
    <row r="20" spans="1:15" x14ac:dyDescent="0.2">
      <c r="A20" s="61" t="s">
        <v>171</v>
      </c>
      <c r="B20" s="52" t="s">
        <v>6</v>
      </c>
      <c r="C20" s="193">
        <v>9.3070000000000004</v>
      </c>
      <c r="D20" s="193">
        <v>9.8629999999999995</v>
      </c>
      <c r="E20" s="193">
        <f>D20*J7</f>
        <v>10.513958000000001</v>
      </c>
      <c r="F20" s="236">
        <f t="shared" si="0"/>
        <v>11.008114025999999</v>
      </c>
      <c r="G20" s="193">
        <f>E20*L7</f>
        <v>11.008114025999999</v>
      </c>
      <c r="H20" s="193">
        <f>G20*M7</f>
        <v>11.44843858704</v>
      </c>
      <c r="I20" s="193">
        <f>H20*N7</f>
        <v>11.9063761305216</v>
      </c>
    </row>
    <row r="21" spans="1:15" x14ac:dyDescent="0.2">
      <c r="A21" s="61" t="s">
        <v>47</v>
      </c>
      <c r="B21" s="52" t="s">
        <v>6</v>
      </c>
      <c r="C21" s="237">
        <f>C7-C9-C13-C14-C15-C16-C17-C18-C19-C20</f>
        <v>1717.1000000000015</v>
      </c>
      <c r="D21" s="237">
        <f>D7-D9-D13-D14-D15-D16-D17-D18-D19-D20</f>
        <v>524.36699999999678</v>
      </c>
      <c r="E21" s="237">
        <f>E7-E9-E13-E14-E15-E16-E17-E18-E19-E20</f>
        <v>1811.9516669999964</v>
      </c>
      <c r="F21" s="237">
        <f t="shared" ref="F21" si="4">F7-F9-F13-F14-F15-F16-F17-F18-F19-F20</f>
        <v>1915.2685498270025</v>
      </c>
      <c r="G21" s="237">
        <f>G7-G9-G13-G14-G15-G16-G17-G18-G19-G20</f>
        <v>1861.7047898270016</v>
      </c>
      <c r="H21" s="237">
        <f>H7-H9-H13-H14-H15-H16-H17-H18-H19-H20</f>
        <v>1886.278487100753</v>
      </c>
      <c r="I21" s="237">
        <f>I7-I9-I13-I14-I15-I16-I17-I18-I19-I20</f>
        <v>2249.3878192801835</v>
      </c>
    </row>
    <row r="22" spans="1:15" ht="58.5" x14ac:dyDescent="0.2">
      <c r="A22" s="34" t="s">
        <v>73</v>
      </c>
      <c r="B22" s="52" t="s">
        <v>6</v>
      </c>
      <c r="C22" s="238">
        <v>2105.1</v>
      </c>
      <c r="D22" s="238">
        <v>2323.9499999999998</v>
      </c>
      <c r="E22" s="239">
        <f>[1]Выручка!$AQ$15</f>
        <v>2421.4568243375415</v>
      </c>
      <c r="F22" s="239">
        <f>E22*K7</f>
        <v>2547.3725792030937</v>
      </c>
      <c r="G22" s="240">
        <f>[1]Выручка!$AU$15</f>
        <v>2486.9192897679723</v>
      </c>
      <c r="H22" s="241">
        <f>[1]Выручка!$AY$15</f>
        <v>2545.8335454655944</v>
      </c>
      <c r="I22" s="241">
        <f>[1]Выручка!$BC$15</f>
        <v>2595.0511894025867</v>
      </c>
    </row>
    <row r="23" spans="1:15" ht="44.25" customHeight="1" x14ac:dyDescent="0.2">
      <c r="A23" s="82" t="s">
        <v>93</v>
      </c>
      <c r="B23" s="55" t="s">
        <v>6</v>
      </c>
      <c r="C23" s="242">
        <v>178.92</v>
      </c>
      <c r="D23" s="181">
        <v>166.97</v>
      </c>
      <c r="E23" s="181">
        <v>91.41</v>
      </c>
      <c r="F23" s="181">
        <v>47.14</v>
      </c>
      <c r="G23" s="181">
        <v>47.14</v>
      </c>
      <c r="H23" s="181">
        <v>132.33000000000001</v>
      </c>
      <c r="I23" s="181">
        <v>139.88999999999999</v>
      </c>
    </row>
    <row r="24" spans="1:15" ht="18.75" customHeight="1" x14ac:dyDescent="0.2">
      <c r="A24" s="377" t="s">
        <v>10</v>
      </c>
      <c r="B24" s="378"/>
      <c r="C24" s="378"/>
      <c r="D24" s="378"/>
      <c r="E24" s="378"/>
      <c r="F24" s="378"/>
      <c r="G24" s="378"/>
      <c r="H24" s="378"/>
      <c r="I24" s="378"/>
    </row>
    <row r="25" spans="1:15" x14ac:dyDescent="0.2">
      <c r="A25" s="83" t="s">
        <v>61</v>
      </c>
      <c r="B25" s="56"/>
      <c r="C25" s="200"/>
      <c r="D25" s="182"/>
      <c r="E25" s="182"/>
      <c r="F25" s="182"/>
      <c r="G25" s="182"/>
      <c r="H25" s="182"/>
      <c r="I25" s="182"/>
    </row>
    <row r="26" spans="1:15" ht="58.5" customHeight="1" x14ac:dyDescent="0.2">
      <c r="A26" s="64" t="s">
        <v>268</v>
      </c>
      <c r="B26" s="52" t="s">
        <v>6</v>
      </c>
      <c r="C26" s="239">
        <v>2011.0890000000002</v>
      </c>
      <c r="D26" s="243">
        <f>D30</f>
        <v>2087.0929999999998</v>
      </c>
      <c r="E26" s="243">
        <f>E30</f>
        <v>2244.192215</v>
      </c>
      <c r="F26" s="243">
        <f t="shared" ref="F26:I26" si="5">F30</f>
        <v>2358.1104097150001</v>
      </c>
      <c r="G26" s="243">
        <f>G30</f>
        <v>2358.1104097150001</v>
      </c>
      <c r="H26" s="243">
        <f t="shared" si="5"/>
        <v>2444.6674750116672</v>
      </c>
      <c r="I26" s="243">
        <f t="shared" si="5"/>
        <v>2529.9633290600477</v>
      </c>
    </row>
    <row r="27" spans="1:15" x14ac:dyDescent="0.2">
      <c r="A27" s="64" t="s">
        <v>63</v>
      </c>
      <c r="B27" s="53" t="s">
        <v>8</v>
      </c>
      <c r="C27" s="239">
        <v>111.83707738186794</v>
      </c>
      <c r="D27" s="243">
        <f>D31</f>
        <v>103.07128854193435</v>
      </c>
      <c r="E27" s="243">
        <f>E31</f>
        <v>106.6847458387183</v>
      </c>
      <c r="F27" s="243">
        <f t="shared" ref="F27:I27" si="6">F31</f>
        <v>104.86637230299351</v>
      </c>
      <c r="G27" s="243">
        <f t="shared" si="6"/>
        <v>104.86637230299351</v>
      </c>
      <c r="H27" s="243">
        <f t="shared" si="6"/>
        <v>103.36400105135976</v>
      </c>
      <c r="I27" s="243">
        <f t="shared" si="6"/>
        <v>102.83384907856674</v>
      </c>
    </row>
    <row r="28" spans="1:15" x14ac:dyDescent="0.2">
      <c r="A28" s="65" t="s">
        <v>23</v>
      </c>
      <c r="B28" s="52"/>
      <c r="C28" s="238"/>
      <c r="D28" s="244"/>
      <c r="E28" s="244"/>
      <c r="F28" s="244"/>
      <c r="G28" s="244"/>
      <c r="H28" s="244"/>
      <c r="I28" s="244"/>
    </row>
    <row r="29" spans="1:15" x14ac:dyDescent="0.2">
      <c r="A29" s="63" t="s">
        <v>142</v>
      </c>
      <c r="B29" s="52"/>
      <c r="C29" s="189"/>
      <c r="D29" s="190"/>
      <c r="E29" s="190"/>
      <c r="F29" s="190"/>
      <c r="G29" s="190"/>
      <c r="H29" s="190"/>
      <c r="I29" s="190"/>
    </row>
    <row r="30" spans="1:15" ht="37.5" x14ac:dyDescent="0.2">
      <c r="A30" s="66" t="s">
        <v>143</v>
      </c>
      <c r="B30" s="52" t="s">
        <v>6</v>
      </c>
      <c r="C30" s="245">
        <v>2011.0890000000002</v>
      </c>
      <c r="D30" s="193">
        <f>D33+D36+D39+D42</f>
        <v>2087.0929999999998</v>
      </c>
      <c r="E30" s="246">
        <f t="shared" ref="E30:F30" si="7">E33+E36+E39+E42</f>
        <v>2244.192215</v>
      </c>
      <c r="F30" s="246">
        <f t="shared" si="7"/>
        <v>2358.1104097150001</v>
      </c>
      <c r="G30" s="246">
        <f>G33+G36+G39+G42</f>
        <v>2358.1104097150001</v>
      </c>
      <c r="H30" s="246">
        <f t="shared" ref="H30:I30" si="8">H33+H36+H39+H42</f>
        <v>2444.6674750116672</v>
      </c>
      <c r="I30" s="246">
        <f t="shared" si="8"/>
        <v>2529.9633290600477</v>
      </c>
    </row>
    <row r="31" spans="1:15" x14ac:dyDescent="0.2">
      <c r="A31" s="66" t="s">
        <v>270</v>
      </c>
      <c r="B31" s="52" t="s">
        <v>8</v>
      </c>
      <c r="C31" s="246">
        <v>111.83707738186794</v>
      </c>
      <c r="D31" s="246">
        <f>'Прил 1 (расчет ИФО) (2)'!R111</f>
        <v>103.07128854193435</v>
      </c>
      <c r="E31" s="246">
        <f>'Прил 1 (расчет ИФО) (2)'!S111</f>
        <v>106.6847458387183</v>
      </c>
      <c r="F31" s="246">
        <f>'Прил 1 (расчет ИФО) (2)'!T111</f>
        <v>104.86637230299351</v>
      </c>
      <c r="G31" s="246">
        <f>F31</f>
        <v>104.86637230299351</v>
      </c>
      <c r="H31" s="246">
        <f>'Прил 1 (расчет ИФО) (2)'!U111</f>
        <v>103.36400105135976</v>
      </c>
      <c r="I31" s="246">
        <f>'Прил 1 (расчет ИФО) (2)'!V111</f>
        <v>102.83384907856674</v>
      </c>
    </row>
    <row r="32" spans="1:15" x14ac:dyDescent="0.2">
      <c r="A32" s="63" t="s">
        <v>144</v>
      </c>
      <c r="B32" s="52"/>
      <c r="C32" s="245"/>
      <c r="D32" s="245"/>
      <c r="E32" s="245"/>
      <c r="F32" s="245"/>
      <c r="G32" s="245"/>
      <c r="H32" s="245"/>
      <c r="I32" s="245"/>
    </row>
    <row r="33" spans="1:9" ht="37.5" x14ac:dyDescent="0.2">
      <c r="A33" s="66" t="s">
        <v>145</v>
      </c>
      <c r="B33" s="52" t="s">
        <v>6</v>
      </c>
      <c r="C33" s="245">
        <v>405.09699999999998</v>
      </c>
      <c r="D33" s="193">
        <f>D13</f>
        <v>413.19900000000001</v>
      </c>
      <c r="E33" s="193">
        <f t="shared" ref="E33" si="9">E13</f>
        <v>441.70973099999998</v>
      </c>
      <c r="F33" s="193">
        <f>F13</f>
        <v>462.91179808800001</v>
      </c>
      <c r="G33" s="193">
        <f>G13</f>
        <v>462.91179808800001</v>
      </c>
      <c r="H33" s="193">
        <f>H13</f>
        <v>478.18788742490398</v>
      </c>
      <c r="I33" s="193">
        <f>I13</f>
        <v>490.62077249795146</v>
      </c>
    </row>
    <row r="34" spans="1:9" x14ac:dyDescent="0.2">
      <c r="A34" s="66" t="s">
        <v>0</v>
      </c>
      <c r="B34" s="52" t="s">
        <v>8</v>
      </c>
      <c r="C34" s="246">
        <v>113.73637186272292</v>
      </c>
      <c r="D34" s="246">
        <f>'Прил 1 (расчет ИФО) (2)'!R20</f>
        <v>103.65388413605083</v>
      </c>
      <c r="E34" s="246">
        <f>'Прил 1 (расчет ИФО) (2)'!S20</f>
        <v>106.90000000000002</v>
      </c>
      <c r="F34" s="246">
        <f>'Прил 1 (расчет ИФО) (2)'!T20</f>
        <v>104.79999999999998</v>
      </c>
      <c r="G34" s="246">
        <f>'Прил 1 (расчет ИФО) (2)'!U20</f>
        <v>103.3</v>
      </c>
      <c r="H34" s="246">
        <f>G34</f>
        <v>103.3</v>
      </c>
      <c r="I34" s="246">
        <f>'Прил 1 (расчет ИФО) (2)'!V20</f>
        <v>102.60000000000002</v>
      </c>
    </row>
    <row r="35" spans="1:9" ht="37.5" customHeight="1" x14ac:dyDescent="0.2">
      <c r="A35" s="63" t="s">
        <v>146</v>
      </c>
      <c r="B35" s="52"/>
      <c r="C35" s="245"/>
      <c r="D35" s="245"/>
      <c r="E35" s="245"/>
      <c r="F35" s="245"/>
      <c r="G35" s="245"/>
      <c r="H35" s="245"/>
      <c r="I35" s="245"/>
    </row>
    <row r="36" spans="1:9" ht="37.5" x14ac:dyDescent="0.2">
      <c r="A36" s="66" t="s">
        <v>145</v>
      </c>
      <c r="B36" s="52" t="s">
        <v>6</v>
      </c>
      <c r="C36" s="245">
        <v>753.85199999999998</v>
      </c>
      <c r="D36" s="193">
        <f>D14</f>
        <v>829.23699999999997</v>
      </c>
      <c r="E36" s="193">
        <f t="shared" ref="E36:I36" si="10">E14</f>
        <v>908.01451499999996</v>
      </c>
      <c r="F36" s="193">
        <f t="shared" si="10"/>
        <v>949.78318268999999</v>
      </c>
      <c r="G36" s="193">
        <f t="shared" si="10"/>
        <v>949.78318268999999</v>
      </c>
      <c r="H36" s="193">
        <f t="shared" si="10"/>
        <v>985.87494363222004</v>
      </c>
      <c r="I36" s="193">
        <f t="shared" si="10"/>
        <v>1021.36644160298</v>
      </c>
    </row>
    <row r="37" spans="1:9" x14ac:dyDescent="0.2">
      <c r="A37" s="66" t="s">
        <v>0</v>
      </c>
      <c r="B37" s="52" t="s">
        <v>8</v>
      </c>
      <c r="C37" s="245">
        <v>115.34968132884273</v>
      </c>
      <c r="D37" s="246">
        <f>'Прил 1 (расчет ИФО) (2)'!R103</f>
        <v>104.49587981183718</v>
      </c>
      <c r="E37" s="246">
        <f>'Прил 1 (расчет ИФО) (2)'!S103</f>
        <v>106.60000000000002</v>
      </c>
      <c r="F37" s="246">
        <f>'Прил 1 (расчет ИФО) (2)'!T103</f>
        <v>103</v>
      </c>
      <c r="G37" s="246">
        <f>F37</f>
        <v>103</v>
      </c>
      <c r="H37" s="246">
        <f>'Прил 1 (расчет ИФО) (2)'!U103</f>
        <v>103</v>
      </c>
      <c r="I37" s="246">
        <f>'Прил 1 (расчет ИФО) (2)'!V103</f>
        <v>102.89999999999999</v>
      </c>
    </row>
    <row r="38" spans="1:9" ht="37.5" x14ac:dyDescent="0.2">
      <c r="A38" s="98" t="s">
        <v>147</v>
      </c>
      <c r="B38" s="52"/>
      <c r="C38" s="179"/>
      <c r="D38" s="179"/>
      <c r="E38" s="180"/>
      <c r="F38" s="180"/>
      <c r="G38" s="179"/>
      <c r="H38" s="180"/>
      <c r="I38" s="179"/>
    </row>
    <row r="39" spans="1:9" ht="37.5" x14ac:dyDescent="0.2">
      <c r="A39" s="66" t="s">
        <v>148</v>
      </c>
      <c r="B39" s="52" t="s">
        <v>6</v>
      </c>
      <c r="C39" s="245">
        <v>721.005</v>
      </c>
      <c r="D39" s="193">
        <f>D15</f>
        <v>753.45</v>
      </c>
      <c r="E39" s="193">
        <f t="shared" ref="E39:I39" si="11">E15</f>
        <v>797.15010000000007</v>
      </c>
      <c r="F39" s="193">
        <f t="shared" si="11"/>
        <v>840.99335550000001</v>
      </c>
      <c r="G39" s="193">
        <f t="shared" si="11"/>
        <v>840.99335550000001</v>
      </c>
      <c r="H39" s="193">
        <f t="shared" si="11"/>
        <v>872.11010965349999</v>
      </c>
      <c r="I39" s="193">
        <f t="shared" si="11"/>
        <v>905.25029382033301</v>
      </c>
    </row>
    <row r="40" spans="1:9" x14ac:dyDescent="0.2">
      <c r="A40" s="66" t="s">
        <v>0</v>
      </c>
      <c r="B40" s="52" t="s">
        <v>8</v>
      </c>
      <c r="C40" s="245">
        <v>103.94417593404661</v>
      </c>
      <c r="D40" s="247">
        <f>'Прил 1 (расчет ИФО) (2)'!R110</f>
        <v>100.45183336022632</v>
      </c>
      <c r="E40" s="247">
        <f>'Прил 1 (расчет ИФО) (2)'!S110</f>
        <v>105.80000000000003</v>
      </c>
      <c r="F40" s="247">
        <f>'Прил 1 (расчет ИФО) (2)'!T110</f>
        <v>105.5</v>
      </c>
      <c r="G40" s="246">
        <f>'Прил 1 (расчет ИФО) (2)'!U110</f>
        <v>103.69999999999999</v>
      </c>
      <c r="H40" s="247">
        <f>G40</f>
        <v>103.69999999999999</v>
      </c>
      <c r="I40" s="246">
        <f>'Прил 1 (расчет ИФО) (2)'!V110</f>
        <v>103.80000000000003</v>
      </c>
    </row>
    <row r="41" spans="1:9" ht="56.25" x14ac:dyDescent="0.2">
      <c r="A41" s="98" t="s">
        <v>149</v>
      </c>
      <c r="B41" s="52"/>
      <c r="C41" s="245"/>
      <c r="D41" s="190"/>
      <c r="E41" s="248"/>
      <c r="F41" s="248"/>
      <c r="G41" s="190"/>
      <c r="H41" s="248"/>
      <c r="I41" s="190"/>
    </row>
    <row r="42" spans="1:9" ht="37.5" x14ac:dyDescent="0.2">
      <c r="A42" s="66" t="s">
        <v>148</v>
      </c>
      <c r="B42" s="52" t="s">
        <v>6</v>
      </c>
      <c r="C42" s="245">
        <v>131.13499999999999</v>
      </c>
      <c r="D42" s="193">
        <f>D16</f>
        <v>91.206999999999994</v>
      </c>
      <c r="E42" s="193">
        <f t="shared" ref="E42:I42" si="12">E16</f>
        <v>97.317868999999988</v>
      </c>
      <c r="F42" s="193">
        <f t="shared" si="12"/>
        <v>104.42207343699998</v>
      </c>
      <c r="G42" s="193">
        <f t="shared" si="12"/>
        <v>104.42207343699998</v>
      </c>
      <c r="H42" s="193">
        <f t="shared" si="12"/>
        <v>108.49453430104298</v>
      </c>
      <c r="I42" s="193">
        <f t="shared" si="12"/>
        <v>112.72582113878364</v>
      </c>
    </row>
    <row r="43" spans="1:9" ht="37.5" x14ac:dyDescent="0.2">
      <c r="A43" s="67" t="s">
        <v>150</v>
      </c>
      <c r="B43" s="54"/>
      <c r="C43" s="189"/>
      <c r="D43" s="190"/>
      <c r="E43" s="248"/>
      <c r="F43" s="248"/>
      <c r="G43" s="190"/>
      <c r="H43" s="248"/>
      <c r="I43" s="190"/>
    </row>
    <row r="44" spans="1:9" x14ac:dyDescent="0.2">
      <c r="A44" s="68" t="s">
        <v>11</v>
      </c>
      <c r="B44" s="52" t="s">
        <v>6</v>
      </c>
      <c r="C44" s="189"/>
      <c r="D44" s="190"/>
      <c r="E44" s="190"/>
      <c r="F44" s="190"/>
      <c r="G44" s="249"/>
      <c r="H44" s="190"/>
      <c r="I44" s="249"/>
    </row>
    <row r="45" spans="1:9" x14ac:dyDescent="0.2">
      <c r="A45" s="68" t="s">
        <v>151</v>
      </c>
      <c r="B45" s="52" t="s">
        <v>8</v>
      </c>
      <c r="C45" s="189"/>
      <c r="D45" s="190"/>
      <c r="E45" s="190"/>
      <c r="F45" s="190"/>
      <c r="G45" s="190"/>
      <c r="H45" s="190"/>
      <c r="I45" s="190"/>
    </row>
    <row r="46" spans="1:9" x14ac:dyDescent="0.2">
      <c r="A46" s="69" t="s">
        <v>152</v>
      </c>
      <c r="B46" s="54"/>
      <c r="C46" s="189"/>
      <c r="D46" s="190"/>
      <c r="E46" s="248"/>
      <c r="F46" s="248"/>
      <c r="G46" s="190"/>
      <c r="H46" s="248"/>
      <c r="I46" s="190"/>
    </row>
    <row r="47" spans="1:9" x14ac:dyDescent="0.2">
      <c r="A47" s="70" t="s">
        <v>153</v>
      </c>
      <c r="B47" s="52" t="s">
        <v>6</v>
      </c>
      <c r="C47" s="245">
        <v>1168.711</v>
      </c>
      <c r="D47" s="246">
        <f>D17</f>
        <v>962.77099999999996</v>
      </c>
      <c r="E47" s="246">
        <f>E17</f>
        <v>1024.388344</v>
      </c>
      <c r="F47" s="246">
        <f t="shared" ref="F47:I47" si="13">F17</f>
        <v>1081.754091264</v>
      </c>
      <c r="G47" s="246">
        <f t="shared" si="13"/>
        <v>1081.754091264</v>
      </c>
      <c r="H47" s="246">
        <f t="shared" si="13"/>
        <v>1139.087058100992</v>
      </c>
      <c r="I47" s="246">
        <f t="shared" si="13"/>
        <v>1190.3459757155365</v>
      </c>
    </row>
    <row r="48" spans="1:9" x14ac:dyDescent="0.2">
      <c r="A48" s="70" t="s">
        <v>13</v>
      </c>
      <c r="B48" s="52" t="s">
        <v>14</v>
      </c>
      <c r="C48" s="245">
        <v>14311</v>
      </c>
      <c r="D48" s="245">
        <v>11763</v>
      </c>
      <c r="E48" s="245">
        <f>6191*4</f>
        <v>24764</v>
      </c>
      <c r="F48" s="245">
        <f>E48</f>
        <v>24764</v>
      </c>
      <c r="G48" s="245">
        <f t="shared" ref="G48:I48" si="14">F48</f>
        <v>24764</v>
      </c>
      <c r="H48" s="245">
        <f t="shared" si="14"/>
        <v>24764</v>
      </c>
      <c r="I48" s="245">
        <f t="shared" si="14"/>
        <v>24764</v>
      </c>
    </row>
    <row r="49" spans="1:14" x14ac:dyDescent="0.2">
      <c r="A49" s="70" t="s">
        <v>15</v>
      </c>
      <c r="B49" s="52" t="s">
        <v>14</v>
      </c>
      <c r="C49" s="245">
        <v>0.36980000000000002</v>
      </c>
      <c r="D49" s="245">
        <v>0.30449999999999999</v>
      </c>
      <c r="E49" s="193">
        <f>E48/E78/1000</f>
        <v>0.64489583333333333</v>
      </c>
      <c r="F49" s="193">
        <f t="shared" ref="F49:I49" si="15">F48/F78/1000</f>
        <v>0.64813651591289778</v>
      </c>
      <c r="G49" s="193">
        <f t="shared" si="15"/>
        <v>0.64827225130890043</v>
      </c>
      <c r="H49" s="193">
        <f t="shared" si="15"/>
        <v>0.64827225130890043</v>
      </c>
      <c r="I49" s="193">
        <f t="shared" si="15"/>
        <v>0.64827225130890043</v>
      </c>
    </row>
    <row r="50" spans="1:14" x14ac:dyDescent="0.2">
      <c r="A50" s="69" t="s">
        <v>154</v>
      </c>
      <c r="B50" s="54"/>
      <c r="C50" s="245"/>
      <c r="D50" s="190"/>
      <c r="E50" s="248"/>
      <c r="F50" s="248"/>
      <c r="G50" s="190"/>
      <c r="H50" s="248"/>
      <c r="I50" s="190"/>
    </row>
    <row r="51" spans="1:14" x14ac:dyDescent="0.2">
      <c r="A51" s="70" t="s">
        <v>155</v>
      </c>
      <c r="B51" s="52" t="s">
        <v>156</v>
      </c>
      <c r="C51" s="245">
        <v>11296.2</v>
      </c>
      <c r="D51" s="245">
        <v>10801.7</v>
      </c>
      <c r="E51" s="246">
        <f>D51*109.8%</f>
        <v>11860.266599999999</v>
      </c>
      <c r="F51" s="246">
        <f>E51*105.8%</f>
        <v>12548.1620628</v>
      </c>
      <c r="G51" s="246">
        <f>E51*106.3%</f>
        <v>12607.463395799998</v>
      </c>
      <c r="H51" s="246">
        <f>G51*104.3%</f>
        <v>13149.584321819397</v>
      </c>
      <c r="I51" s="246">
        <f>H51*104%</f>
        <v>13675.567694692174</v>
      </c>
      <c r="J51" s="195">
        <v>109.8</v>
      </c>
      <c r="K51" s="195">
        <v>105.8</v>
      </c>
      <c r="L51" s="195">
        <v>106.3</v>
      </c>
      <c r="M51" s="195">
        <v>104.3</v>
      </c>
      <c r="N51" s="195">
        <v>104</v>
      </c>
    </row>
    <row r="52" spans="1:14" x14ac:dyDescent="0.2">
      <c r="A52" s="70" t="s">
        <v>157</v>
      </c>
      <c r="B52" s="52" t="s">
        <v>158</v>
      </c>
      <c r="C52" s="245">
        <v>7870.4</v>
      </c>
      <c r="D52" s="245">
        <v>4383.34</v>
      </c>
      <c r="E52" s="245">
        <f>657.96*4</f>
        <v>2631.84</v>
      </c>
      <c r="F52" s="245">
        <f>E52</f>
        <v>2631.84</v>
      </c>
      <c r="G52" s="245">
        <f>F52</f>
        <v>2631.84</v>
      </c>
      <c r="H52" s="245">
        <f>G52</f>
        <v>2631.84</v>
      </c>
      <c r="I52" s="245">
        <f t="shared" ref="I52" si="16">H52</f>
        <v>2631.84</v>
      </c>
    </row>
    <row r="53" spans="1:14" ht="37.5" x14ac:dyDescent="0.2">
      <c r="A53" s="69" t="s">
        <v>159</v>
      </c>
      <c r="B53" s="52"/>
      <c r="C53" s="245"/>
      <c r="D53" s="190"/>
      <c r="E53" s="190"/>
      <c r="F53" s="190"/>
      <c r="G53" s="190"/>
      <c r="H53" s="190"/>
      <c r="I53" s="190"/>
    </row>
    <row r="54" spans="1:14" x14ac:dyDescent="0.2">
      <c r="A54" s="70" t="s">
        <v>17</v>
      </c>
      <c r="B54" s="52" t="s">
        <v>6</v>
      </c>
      <c r="C54" s="245">
        <v>4465.9139999999998</v>
      </c>
      <c r="D54" s="250">
        <f>D18</f>
        <v>5637.165</v>
      </c>
      <c r="E54" s="193">
        <f>E18</f>
        <v>6071.226705</v>
      </c>
      <c r="F54" s="193">
        <f t="shared" ref="F54:I54" si="17">F18</f>
        <v>6362.6455868399999</v>
      </c>
      <c r="G54" s="193">
        <f t="shared" si="17"/>
        <v>6362.6455868399999</v>
      </c>
      <c r="H54" s="193">
        <f t="shared" si="17"/>
        <v>6610.7887647267589</v>
      </c>
      <c r="I54" s="193">
        <f t="shared" si="17"/>
        <v>6815.7232164332881</v>
      </c>
    </row>
    <row r="55" spans="1:14" x14ac:dyDescent="0.2">
      <c r="A55" s="70" t="s">
        <v>18</v>
      </c>
      <c r="B55" s="52" t="s">
        <v>8</v>
      </c>
      <c r="C55" s="245"/>
      <c r="D55" s="190"/>
      <c r="E55" s="190"/>
      <c r="F55" s="190"/>
      <c r="G55" s="190"/>
      <c r="H55" s="190"/>
      <c r="I55" s="190"/>
    </row>
    <row r="56" spans="1:14" x14ac:dyDescent="0.2">
      <c r="A56" s="67" t="s">
        <v>19</v>
      </c>
      <c r="B56" s="54"/>
      <c r="C56" s="245"/>
      <c r="D56" s="190"/>
      <c r="E56" s="190"/>
      <c r="F56" s="190"/>
      <c r="G56" s="190"/>
      <c r="H56" s="190"/>
      <c r="I56" s="190"/>
    </row>
    <row r="57" spans="1:14" x14ac:dyDescent="0.2">
      <c r="A57" s="68" t="s">
        <v>160</v>
      </c>
      <c r="B57" s="52" t="s">
        <v>20</v>
      </c>
      <c r="C57" s="238">
        <v>266</v>
      </c>
      <c r="D57" s="238">
        <v>247</v>
      </c>
      <c r="E57" s="251">
        <f>D57*101%</f>
        <v>249.47</v>
      </c>
      <c r="F57" s="251">
        <f>E57</f>
        <v>249.47</v>
      </c>
      <c r="G57" s="251">
        <f>E57*101.25%</f>
        <v>252.58837499999998</v>
      </c>
      <c r="H57" s="251">
        <f>G57</f>
        <v>252.58837499999998</v>
      </c>
      <c r="I57" s="251">
        <f>H57</f>
        <v>252.58837499999998</v>
      </c>
    </row>
    <row r="58" spans="1:14" x14ac:dyDescent="0.2">
      <c r="A58" s="68" t="s">
        <v>62</v>
      </c>
      <c r="B58" s="52"/>
      <c r="C58" s="245"/>
      <c r="D58" s="245"/>
      <c r="E58" s="245"/>
      <c r="F58" s="190"/>
      <c r="G58" s="249"/>
      <c r="H58" s="251"/>
      <c r="I58" s="249"/>
    </row>
    <row r="59" spans="1:14" ht="37.5" x14ac:dyDescent="0.2">
      <c r="A59" s="68" t="s">
        <v>269</v>
      </c>
      <c r="B59" s="52" t="s">
        <v>20</v>
      </c>
      <c r="C59" s="245">
        <v>11</v>
      </c>
      <c r="D59" s="245">
        <v>10</v>
      </c>
      <c r="E59" s="245">
        <f>D59</f>
        <v>10</v>
      </c>
      <c r="F59" s="245">
        <f>E59</f>
        <v>10</v>
      </c>
      <c r="G59" s="245">
        <v>10</v>
      </c>
      <c r="H59" s="252">
        <f t="shared" ref="H59:H70" si="18">G59</f>
        <v>10</v>
      </c>
      <c r="I59" s="245">
        <f t="shared" ref="E59:I70" si="19">H59</f>
        <v>10</v>
      </c>
    </row>
    <row r="60" spans="1:14" ht="37.5" x14ac:dyDescent="0.2">
      <c r="A60" s="68" t="s">
        <v>136</v>
      </c>
      <c r="B60" s="52" t="s">
        <v>20</v>
      </c>
      <c r="C60" s="245">
        <v>0</v>
      </c>
      <c r="D60" s="245">
        <v>0</v>
      </c>
      <c r="E60" s="245">
        <f t="shared" ref="E60:I62" si="20">D60</f>
        <v>0</v>
      </c>
      <c r="F60" s="245">
        <f t="shared" si="20"/>
        <v>0</v>
      </c>
      <c r="G60" s="245">
        <v>0</v>
      </c>
      <c r="H60" s="252">
        <f t="shared" si="18"/>
        <v>0</v>
      </c>
      <c r="I60" s="245">
        <f t="shared" si="20"/>
        <v>0</v>
      </c>
    </row>
    <row r="61" spans="1:14" x14ac:dyDescent="0.2">
      <c r="A61" s="68" t="s">
        <v>137</v>
      </c>
      <c r="B61" s="52" t="s">
        <v>20</v>
      </c>
      <c r="C61" s="245">
        <v>0</v>
      </c>
      <c r="D61" s="245">
        <v>0</v>
      </c>
      <c r="E61" s="245">
        <f t="shared" si="20"/>
        <v>0</v>
      </c>
      <c r="F61" s="245">
        <f t="shared" si="20"/>
        <v>0</v>
      </c>
      <c r="G61" s="245">
        <v>0</v>
      </c>
      <c r="H61" s="252">
        <f t="shared" si="18"/>
        <v>0</v>
      </c>
      <c r="I61" s="245">
        <f t="shared" si="20"/>
        <v>0</v>
      </c>
    </row>
    <row r="62" spans="1:14" x14ac:dyDescent="0.2">
      <c r="A62" s="68" t="s">
        <v>138</v>
      </c>
      <c r="B62" s="52" t="s">
        <v>20</v>
      </c>
      <c r="C62" s="245">
        <v>0</v>
      </c>
      <c r="D62" s="245">
        <v>0</v>
      </c>
      <c r="E62" s="245">
        <f t="shared" si="20"/>
        <v>0</v>
      </c>
      <c r="F62" s="245">
        <f t="shared" si="20"/>
        <v>0</v>
      </c>
      <c r="G62" s="245">
        <v>0</v>
      </c>
      <c r="H62" s="252">
        <f t="shared" si="18"/>
        <v>0</v>
      </c>
      <c r="I62" s="245">
        <f t="shared" si="20"/>
        <v>0</v>
      </c>
    </row>
    <row r="63" spans="1:14" ht="20.25" customHeight="1" x14ac:dyDescent="0.2">
      <c r="A63" s="68" t="s">
        <v>42</v>
      </c>
      <c r="B63" s="52" t="s">
        <v>20</v>
      </c>
      <c r="C63" s="245">
        <v>3</v>
      </c>
      <c r="D63" s="245">
        <v>3</v>
      </c>
      <c r="E63" s="245">
        <f>D63</f>
        <v>3</v>
      </c>
      <c r="F63" s="245">
        <f t="shared" ref="F63:I63" si="21">E63</f>
        <v>3</v>
      </c>
      <c r="G63" s="245">
        <v>3</v>
      </c>
      <c r="H63" s="252">
        <f t="shared" si="18"/>
        <v>3</v>
      </c>
      <c r="I63" s="245">
        <f t="shared" si="21"/>
        <v>3</v>
      </c>
    </row>
    <row r="64" spans="1:14" x14ac:dyDescent="0.2">
      <c r="A64" s="68" t="s">
        <v>43</v>
      </c>
      <c r="B64" s="52" t="s">
        <v>20</v>
      </c>
      <c r="C64" s="245">
        <v>20</v>
      </c>
      <c r="D64" s="245">
        <v>20</v>
      </c>
      <c r="E64" s="245">
        <f>D64</f>
        <v>20</v>
      </c>
      <c r="F64" s="245">
        <f t="shared" si="19"/>
        <v>20</v>
      </c>
      <c r="G64" s="245">
        <v>20</v>
      </c>
      <c r="H64" s="252">
        <f t="shared" si="18"/>
        <v>20</v>
      </c>
      <c r="I64" s="245">
        <f t="shared" si="19"/>
        <v>20</v>
      </c>
    </row>
    <row r="65" spans="1:15" ht="37.5" x14ac:dyDescent="0.2">
      <c r="A65" s="68" t="s">
        <v>139</v>
      </c>
      <c r="B65" s="52" t="s">
        <v>20</v>
      </c>
      <c r="C65" s="245">
        <v>9</v>
      </c>
      <c r="D65" s="245">
        <v>7</v>
      </c>
      <c r="E65" s="245">
        <f t="shared" si="19"/>
        <v>7</v>
      </c>
      <c r="F65" s="245">
        <f t="shared" si="19"/>
        <v>7</v>
      </c>
      <c r="G65" s="245">
        <v>7</v>
      </c>
      <c r="H65" s="252">
        <f t="shared" si="18"/>
        <v>7</v>
      </c>
      <c r="I65" s="245">
        <f t="shared" si="19"/>
        <v>7</v>
      </c>
    </row>
    <row r="66" spans="1:15" ht="56.25" x14ac:dyDescent="0.2">
      <c r="A66" s="68" t="s">
        <v>140</v>
      </c>
      <c r="B66" s="52" t="s">
        <v>20</v>
      </c>
      <c r="C66" s="245">
        <v>4</v>
      </c>
      <c r="D66" s="245">
        <v>4</v>
      </c>
      <c r="E66" s="245">
        <f t="shared" si="19"/>
        <v>4</v>
      </c>
      <c r="F66" s="245">
        <f t="shared" si="19"/>
        <v>4</v>
      </c>
      <c r="G66" s="245">
        <v>4</v>
      </c>
      <c r="H66" s="252">
        <f t="shared" si="18"/>
        <v>4</v>
      </c>
      <c r="I66" s="245">
        <f t="shared" si="19"/>
        <v>4</v>
      </c>
    </row>
    <row r="67" spans="1:15" x14ac:dyDescent="0.2">
      <c r="A67" s="68" t="s">
        <v>12</v>
      </c>
      <c r="B67" s="52" t="s">
        <v>20</v>
      </c>
      <c r="C67" s="245">
        <v>22</v>
      </c>
      <c r="D67" s="245">
        <v>21</v>
      </c>
      <c r="E67" s="245">
        <f t="shared" si="19"/>
        <v>21</v>
      </c>
      <c r="F67" s="245">
        <f t="shared" si="19"/>
        <v>21</v>
      </c>
      <c r="G67" s="245">
        <v>21</v>
      </c>
      <c r="H67" s="252">
        <f t="shared" si="18"/>
        <v>21</v>
      </c>
      <c r="I67" s="245">
        <f t="shared" si="19"/>
        <v>21</v>
      </c>
    </row>
    <row r="68" spans="1:15" ht="37.5" x14ac:dyDescent="0.2">
      <c r="A68" s="68" t="s">
        <v>141</v>
      </c>
      <c r="B68" s="52" t="s">
        <v>20</v>
      </c>
      <c r="C68" s="245">
        <v>50</v>
      </c>
      <c r="D68" s="245">
        <v>40</v>
      </c>
      <c r="E68" s="245">
        <f t="shared" si="19"/>
        <v>40</v>
      </c>
      <c r="F68" s="245">
        <f t="shared" si="19"/>
        <v>40</v>
      </c>
      <c r="G68" s="245">
        <v>40</v>
      </c>
      <c r="H68" s="252">
        <f t="shared" si="18"/>
        <v>40</v>
      </c>
      <c r="I68" s="245">
        <f t="shared" si="19"/>
        <v>40</v>
      </c>
    </row>
    <row r="69" spans="1:15" x14ac:dyDescent="0.2">
      <c r="A69" s="61" t="s">
        <v>170</v>
      </c>
      <c r="B69" s="52" t="s">
        <v>20</v>
      </c>
      <c r="C69" s="245">
        <v>38</v>
      </c>
      <c r="D69" s="245">
        <v>37</v>
      </c>
      <c r="E69" s="245">
        <f t="shared" si="19"/>
        <v>37</v>
      </c>
      <c r="F69" s="245">
        <f t="shared" si="19"/>
        <v>37</v>
      </c>
      <c r="G69" s="245">
        <v>37</v>
      </c>
      <c r="H69" s="252">
        <f t="shared" si="18"/>
        <v>37</v>
      </c>
      <c r="I69" s="245">
        <f t="shared" si="19"/>
        <v>37</v>
      </c>
    </row>
    <row r="70" spans="1:15" x14ac:dyDescent="0.2">
      <c r="A70" s="61" t="s">
        <v>171</v>
      </c>
      <c r="B70" s="52" t="s">
        <v>20</v>
      </c>
      <c r="C70" s="245">
        <v>6</v>
      </c>
      <c r="D70" s="245">
        <v>5</v>
      </c>
      <c r="E70" s="245">
        <f t="shared" si="19"/>
        <v>5</v>
      </c>
      <c r="F70" s="245">
        <f t="shared" si="19"/>
        <v>5</v>
      </c>
      <c r="G70" s="245">
        <v>5</v>
      </c>
      <c r="H70" s="252">
        <f t="shared" si="18"/>
        <v>5</v>
      </c>
      <c r="I70" s="245">
        <f t="shared" si="19"/>
        <v>5</v>
      </c>
    </row>
    <row r="71" spans="1:15" x14ac:dyDescent="0.2">
      <c r="A71" s="68" t="s">
        <v>47</v>
      </c>
      <c r="B71" s="52" t="s">
        <v>20</v>
      </c>
      <c r="C71" s="245">
        <v>103</v>
      </c>
      <c r="D71" s="245">
        <f>D57-D59-D63-D64-D65-D66-D67-D68-D69-D70</f>
        <v>100</v>
      </c>
      <c r="E71" s="252">
        <f>E57-E59-E63-E64-E65-E66-E67-E68-E69-E70</f>
        <v>102.47</v>
      </c>
      <c r="F71" s="252">
        <f>F57-F59-F63-F64-F65-F66-F67-F68-F69-F70</f>
        <v>102.47</v>
      </c>
      <c r="G71" s="252">
        <f>G57-G59-G63-G64-G65-G66-G67-G68-G69-G70</f>
        <v>105.58837499999998</v>
      </c>
      <c r="H71" s="252">
        <f t="shared" ref="H71:I71" si="22">H57-H59-H63-H64-H65-H66-H67-H68-H69-H70</f>
        <v>105.58837499999998</v>
      </c>
      <c r="I71" s="252">
        <f t="shared" si="22"/>
        <v>105.58837499999998</v>
      </c>
    </row>
    <row r="72" spans="1:15" ht="37.5" x14ac:dyDescent="0.2">
      <c r="A72" s="107" t="s">
        <v>68</v>
      </c>
      <c r="B72" s="52" t="s">
        <v>8</v>
      </c>
      <c r="C72" s="246">
        <v>17.277406985486024</v>
      </c>
      <c r="D72" s="246">
        <f>D22/D7*100</f>
        <v>19.137430127113479</v>
      </c>
      <c r="E72" s="246">
        <f>E22/E7*100</f>
        <v>18.363665642137164</v>
      </c>
      <c r="F72" s="246">
        <f t="shared" ref="F72:I72" si="23">F22/F7*100</f>
        <v>18.363665642137164</v>
      </c>
      <c r="G72" s="246">
        <f>E22/G7*100</f>
        <v>17.52362057799338</v>
      </c>
      <c r="H72" s="246">
        <f>G22/H7*100</f>
        <v>17.355278033235592</v>
      </c>
      <c r="I72" s="246">
        <f t="shared" si="23"/>
        <v>17.153515880730925</v>
      </c>
    </row>
    <row r="73" spans="1:15" ht="19.5" x14ac:dyDescent="0.2">
      <c r="A73" s="86" t="s">
        <v>67</v>
      </c>
      <c r="B73" s="52" t="s">
        <v>20</v>
      </c>
      <c r="C73" s="238">
        <v>252</v>
      </c>
      <c r="D73" s="238">
        <v>232</v>
      </c>
      <c r="E73" s="251">
        <v>234</v>
      </c>
      <c r="F73" s="251">
        <f>E73</f>
        <v>234</v>
      </c>
      <c r="G73" s="251">
        <f>E73*(E73/D73*100)%</f>
        <v>236.01724137931035</v>
      </c>
      <c r="H73" s="251">
        <f>G73</f>
        <v>236.01724137931035</v>
      </c>
      <c r="I73" s="251">
        <f>H73</f>
        <v>236.01724137931035</v>
      </c>
    </row>
    <row r="74" spans="1:15" ht="37.5" x14ac:dyDescent="0.2">
      <c r="A74" s="68" t="s">
        <v>74</v>
      </c>
      <c r="B74" s="52"/>
      <c r="C74" s="189"/>
      <c r="D74" s="189"/>
      <c r="E74" s="245"/>
      <c r="F74" s="189"/>
      <c r="G74" s="189"/>
      <c r="H74" s="189"/>
      <c r="I74" s="189"/>
    </row>
    <row r="75" spans="1:15" x14ac:dyDescent="0.2">
      <c r="A75" s="68" t="s">
        <v>60</v>
      </c>
      <c r="B75" s="52" t="s">
        <v>20</v>
      </c>
      <c r="C75" s="238">
        <v>695</v>
      </c>
      <c r="D75" s="238">
        <v>745</v>
      </c>
      <c r="E75" s="251">
        <v>752</v>
      </c>
      <c r="F75" s="251">
        <f>E75</f>
        <v>752</v>
      </c>
      <c r="G75" s="251">
        <f>E75*(E75/D75*100)%</f>
        <v>759.06577181208058</v>
      </c>
      <c r="H75" s="251">
        <f>G75</f>
        <v>759.06577181208058</v>
      </c>
      <c r="I75" s="251">
        <f>H75</f>
        <v>759.06577181208058</v>
      </c>
      <c r="J75" s="195" t="s">
        <v>433</v>
      </c>
    </row>
    <row r="76" spans="1:15" ht="39" x14ac:dyDescent="0.2">
      <c r="A76" s="84" t="s">
        <v>1</v>
      </c>
      <c r="B76" s="55" t="s">
        <v>6</v>
      </c>
      <c r="C76" s="253">
        <v>1274.069</v>
      </c>
      <c r="D76" s="254">
        <v>2463.1</v>
      </c>
      <c r="E76" s="255">
        <f>D76*J76</f>
        <v>2519.7512999999999</v>
      </c>
      <c r="F76" s="254">
        <f>E76*K76</f>
        <v>2562.5870720999997</v>
      </c>
      <c r="G76" s="254">
        <f>E76*L76</f>
        <v>2587.7845850999997</v>
      </c>
      <c r="H76" s="242">
        <f>G76*M76</f>
        <v>2665.418122653</v>
      </c>
      <c r="I76" s="256">
        <f>H76*N76</f>
        <v>2750.7115025778962</v>
      </c>
      <c r="J76" s="217">
        <v>1.0229999999999999</v>
      </c>
      <c r="K76" s="217">
        <v>1.0169999999999999</v>
      </c>
      <c r="L76" s="217">
        <v>1.0269999999999999</v>
      </c>
      <c r="M76" s="218">
        <v>1.03</v>
      </c>
      <c r="N76" s="217">
        <v>1.032</v>
      </c>
    </row>
    <row r="77" spans="1:15" ht="18.75" customHeight="1" x14ac:dyDescent="0.2">
      <c r="A77" s="377" t="s">
        <v>89</v>
      </c>
      <c r="B77" s="378"/>
      <c r="C77" s="378"/>
      <c r="D77" s="378"/>
      <c r="E77" s="378"/>
      <c r="F77" s="378"/>
      <c r="G77" s="378"/>
      <c r="H77" s="378"/>
      <c r="I77" s="379"/>
    </row>
    <row r="78" spans="1:15" ht="19.5" x14ac:dyDescent="0.2">
      <c r="A78" s="81" t="s">
        <v>90</v>
      </c>
      <c r="B78" s="57" t="s">
        <v>22</v>
      </c>
      <c r="C78" s="257">
        <v>38.700000000000003</v>
      </c>
      <c r="D78" s="257">
        <v>38.6</v>
      </c>
      <c r="E78" s="257">
        <v>38.4</v>
      </c>
      <c r="F78" s="258">
        <f>E78*99.5%</f>
        <v>38.207999999999998</v>
      </c>
      <c r="G78" s="257">
        <v>38.200000000000003</v>
      </c>
      <c r="H78" s="258">
        <f>G78</f>
        <v>38.200000000000003</v>
      </c>
      <c r="I78" s="258">
        <f>H78</f>
        <v>38.200000000000003</v>
      </c>
      <c r="J78" s="219"/>
      <c r="K78" s="219">
        <f>E78/D78*100</f>
        <v>99.481865284974091</v>
      </c>
      <c r="L78" s="219"/>
      <c r="M78" s="219"/>
      <c r="N78" s="219"/>
      <c r="O78" s="96"/>
    </row>
    <row r="79" spans="1:15" ht="39" x14ac:dyDescent="0.25">
      <c r="A79" s="81" t="s">
        <v>419</v>
      </c>
      <c r="B79" s="57" t="s">
        <v>22</v>
      </c>
      <c r="C79" s="257">
        <v>13.343999999999999</v>
      </c>
      <c r="D79" s="257">
        <v>13.484999999999999</v>
      </c>
      <c r="E79" s="257">
        <v>13.475</v>
      </c>
      <c r="F79" s="257">
        <v>13.475</v>
      </c>
      <c r="G79" s="257">
        <v>13.475</v>
      </c>
      <c r="H79" s="257">
        <f>G79</f>
        <v>13.475</v>
      </c>
      <c r="I79" s="257">
        <f>H79</f>
        <v>13.475</v>
      </c>
      <c r="J79" s="220"/>
      <c r="K79" s="220"/>
      <c r="L79" s="219"/>
      <c r="M79" s="220"/>
      <c r="N79" s="221"/>
      <c r="O79" s="96"/>
    </row>
    <row r="80" spans="1:15" ht="19.5" x14ac:dyDescent="0.2">
      <c r="A80" s="58" t="s">
        <v>23</v>
      </c>
      <c r="B80" s="52"/>
      <c r="C80" s="245"/>
      <c r="D80" s="245"/>
      <c r="E80" s="259"/>
      <c r="F80" s="259"/>
      <c r="G80" s="260"/>
      <c r="H80" s="259"/>
      <c r="I80" s="260"/>
      <c r="J80" s="222"/>
      <c r="K80" s="222"/>
      <c r="L80" s="219"/>
      <c r="M80" s="219"/>
      <c r="N80" s="219"/>
      <c r="O80" s="96"/>
    </row>
    <row r="81" spans="1:15" ht="37.5" x14ac:dyDescent="0.3">
      <c r="A81" s="71" t="s">
        <v>269</v>
      </c>
      <c r="B81" s="52" t="s">
        <v>22</v>
      </c>
      <c r="C81" s="245">
        <v>2.1000000000000001E-2</v>
      </c>
      <c r="D81" s="261">
        <v>2.1000000000000001E-2</v>
      </c>
      <c r="E81" s="262">
        <f>$D$81</f>
        <v>2.1000000000000001E-2</v>
      </c>
      <c r="F81" s="262">
        <f>$E$81</f>
        <v>2.1000000000000001E-2</v>
      </c>
      <c r="G81" s="262">
        <f t="shared" ref="G81:I81" si="24">$E$81</f>
        <v>2.1000000000000001E-2</v>
      </c>
      <c r="H81" s="262">
        <f t="shared" si="24"/>
        <v>2.1000000000000001E-2</v>
      </c>
      <c r="I81" s="262">
        <f t="shared" si="24"/>
        <v>2.1000000000000001E-2</v>
      </c>
      <c r="J81" s="222"/>
      <c r="K81" s="222"/>
      <c r="L81" s="219"/>
      <c r="M81" s="219"/>
      <c r="N81" s="219"/>
      <c r="O81" s="96"/>
    </row>
    <row r="82" spans="1:15" ht="37.5" x14ac:dyDescent="0.2">
      <c r="A82" s="59" t="s">
        <v>136</v>
      </c>
      <c r="B82" s="52" t="s">
        <v>22</v>
      </c>
      <c r="C82" s="245"/>
      <c r="D82" s="261"/>
      <c r="E82" s="262"/>
      <c r="F82" s="261"/>
      <c r="G82" s="261"/>
      <c r="H82" s="261"/>
      <c r="I82" s="261"/>
      <c r="J82" s="222"/>
      <c r="K82" s="222"/>
      <c r="L82" s="219"/>
      <c r="M82" s="219"/>
      <c r="N82" s="219"/>
      <c r="O82" s="96"/>
    </row>
    <row r="83" spans="1:15" x14ac:dyDescent="0.3">
      <c r="A83" s="72" t="s">
        <v>137</v>
      </c>
      <c r="B83" s="52" t="s">
        <v>22</v>
      </c>
      <c r="C83" s="245"/>
      <c r="D83" s="261"/>
      <c r="E83" s="262"/>
      <c r="F83" s="261"/>
      <c r="G83" s="261"/>
      <c r="H83" s="261"/>
      <c r="I83" s="261"/>
      <c r="J83" s="222"/>
      <c r="K83" s="222"/>
      <c r="L83" s="219"/>
      <c r="M83" s="219"/>
      <c r="N83" s="219"/>
      <c r="O83" s="96"/>
    </row>
    <row r="84" spans="1:15" x14ac:dyDescent="0.3">
      <c r="A84" s="72" t="s">
        <v>138</v>
      </c>
      <c r="B84" s="52" t="s">
        <v>22</v>
      </c>
      <c r="C84" s="245"/>
      <c r="D84" s="261"/>
      <c r="E84" s="262"/>
      <c r="F84" s="261"/>
      <c r="G84" s="261"/>
      <c r="H84" s="261"/>
      <c r="I84" s="261"/>
      <c r="J84" s="222"/>
      <c r="K84" s="222"/>
      <c r="L84" s="219"/>
      <c r="M84" s="219"/>
      <c r="N84" s="219"/>
      <c r="O84" s="96"/>
    </row>
    <row r="85" spans="1:15" x14ac:dyDescent="0.3">
      <c r="A85" s="72" t="s">
        <v>42</v>
      </c>
      <c r="B85" s="52" t="s">
        <v>22</v>
      </c>
      <c r="C85" s="245">
        <v>0.34</v>
      </c>
      <c r="D85" s="261">
        <v>0.34</v>
      </c>
      <c r="E85" s="261">
        <v>0.34</v>
      </c>
      <c r="F85" s="261">
        <v>0.34</v>
      </c>
      <c r="G85" s="261">
        <v>0.34</v>
      </c>
      <c r="H85" s="262">
        <f>G85</f>
        <v>0.34</v>
      </c>
      <c r="I85" s="262">
        <f>H85</f>
        <v>0.34</v>
      </c>
      <c r="J85" s="222"/>
      <c r="K85" s="222"/>
      <c r="L85" s="219"/>
      <c r="M85" s="219"/>
      <c r="N85" s="219"/>
      <c r="O85" s="96"/>
    </row>
    <row r="86" spans="1:15" x14ac:dyDescent="0.3">
      <c r="A86" s="72" t="s">
        <v>43</v>
      </c>
      <c r="B86" s="52" t="s">
        <v>22</v>
      </c>
      <c r="C86" s="245">
        <v>0.63900000000000001</v>
      </c>
      <c r="D86" s="261">
        <v>0.58699999999999997</v>
      </c>
      <c r="E86" s="261">
        <v>0.58699999999999997</v>
      </c>
      <c r="F86" s="261">
        <v>0.58699999999999997</v>
      </c>
      <c r="G86" s="261">
        <v>0.58699999999999997</v>
      </c>
      <c r="H86" s="262">
        <f t="shared" ref="H86:I91" si="25">G86</f>
        <v>0.58699999999999997</v>
      </c>
      <c r="I86" s="262">
        <f t="shared" si="25"/>
        <v>0.58699999999999997</v>
      </c>
      <c r="J86" s="222"/>
      <c r="K86" s="222"/>
      <c r="L86" s="219"/>
      <c r="M86" s="219"/>
      <c r="N86" s="219"/>
      <c r="O86" s="96"/>
    </row>
    <row r="87" spans="1:15" ht="37.5" x14ac:dyDescent="0.2">
      <c r="A87" s="60" t="s">
        <v>139</v>
      </c>
      <c r="B87" s="52" t="s">
        <v>22</v>
      </c>
      <c r="C87" s="245">
        <v>0.58499999999999996</v>
      </c>
      <c r="D87" s="261">
        <v>0.58499999999999996</v>
      </c>
      <c r="E87" s="261">
        <v>0.58499999999999996</v>
      </c>
      <c r="F87" s="261">
        <v>0.58499999999999996</v>
      </c>
      <c r="G87" s="261">
        <v>0.58499999999999996</v>
      </c>
      <c r="H87" s="262">
        <f t="shared" si="25"/>
        <v>0.58499999999999996</v>
      </c>
      <c r="I87" s="262">
        <f t="shared" si="25"/>
        <v>0.58499999999999996</v>
      </c>
      <c r="J87" s="222"/>
      <c r="K87" s="222"/>
      <c r="L87" s="219"/>
      <c r="M87" s="219"/>
      <c r="N87" s="219"/>
      <c r="O87" s="96"/>
    </row>
    <row r="88" spans="1:15" x14ac:dyDescent="0.3">
      <c r="A88" s="72" t="s">
        <v>140</v>
      </c>
      <c r="B88" s="52" t="s">
        <v>22</v>
      </c>
      <c r="C88" s="245">
        <v>0.107</v>
      </c>
      <c r="D88" s="261">
        <v>9.5000000000000001E-2</v>
      </c>
      <c r="E88" s="261">
        <v>9.5000000000000001E-2</v>
      </c>
      <c r="F88" s="261">
        <v>9.5000000000000001E-2</v>
      </c>
      <c r="G88" s="261">
        <v>9.5000000000000001E-2</v>
      </c>
      <c r="H88" s="262">
        <f t="shared" si="25"/>
        <v>9.5000000000000001E-2</v>
      </c>
      <c r="I88" s="262">
        <f t="shared" si="25"/>
        <v>9.5000000000000001E-2</v>
      </c>
      <c r="J88" s="222"/>
      <c r="K88" s="222"/>
      <c r="L88" s="219"/>
      <c r="M88" s="219"/>
      <c r="N88" s="219"/>
      <c r="O88" s="96"/>
    </row>
    <row r="89" spans="1:15" x14ac:dyDescent="0.3">
      <c r="A89" s="72" t="s">
        <v>12</v>
      </c>
      <c r="B89" s="52" t="s">
        <v>22</v>
      </c>
      <c r="C89" s="245">
        <v>0.46400000000000002</v>
      </c>
      <c r="D89" s="261">
        <v>0.39100000000000001</v>
      </c>
      <c r="E89" s="261">
        <v>0.39100000000000001</v>
      </c>
      <c r="F89" s="261">
        <v>0.39100000000000001</v>
      </c>
      <c r="G89" s="261">
        <v>0.39100000000000001</v>
      </c>
      <c r="H89" s="262">
        <f t="shared" si="25"/>
        <v>0.39100000000000001</v>
      </c>
      <c r="I89" s="262">
        <f t="shared" si="25"/>
        <v>0.39100000000000001</v>
      </c>
      <c r="J89" s="222"/>
      <c r="K89" s="222"/>
      <c r="L89" s="219"/>
      <c r="M89" s="219"/>
      <c r="N89" s="219"/>
      <c r="O89" s="96"/>
    </row>
    <row r="90" spans="1:15" ht="37.5" x14ac:dyDescent="0.2">
      <c r="A90" s="59" t="s">
        <v>141</v>
      </c>
      <c r="B90" s="52" t="s">
        <v>22</v>
      </c>
      <c r="C90" s="245">
        <v>3.2879999999999998</v>
      </c>
      <c r="D90" s="261">
        <v>3.282</v>
      </c>
      <c r="E90" s="262">
        <f>$D$90</f>
        <v>3.282</v>
      </c>
      <c r="F90" s="262">
        <f t="shared" ref="F90:I90" si="26">$D$90</f>
        <v>3.282</v>
      </c>
      <c r="G90" s="262">
        <f t="shared" si="26"/>
        <v>3.282</v>
      </c>
      <c r="H90" s="262">
        <f t="shared" si="26"/>
        <v>3.282</v>
      </c>
      <c r="I90" s="262">
        <f t="shared" si="26"/>
        <v>3.282</v>
      </c>
      <c r="J90" s="222"/>
      <c r="K90" s="222"/>
      <c r="L90" s="219"/>
      <c r="M90" s="219"/>
      <c r="N90" s="223"/>
      <c r="O90" s="96"/>
    </row>
    <row r="91" spans="1:15" x14ac:dyDescent="0.2">
      <c r="A91" s="61" t="s">
        <v>170</v>
      </c>
      <c r="B91" s="52" t="s">
        <v>22</v>
      </c>
      <c r="C91" s="245">
        <v>2.6749999999999998</v>
      </c>
      <c r="D91" s="261">
        <v>2.84</v>
      </c>
      <c r="E91" s="261">
        <v>2.84</v>
      </c>
      <c r="F91" s="261">
        <v>2.84</v>
      </c>
      <c r="G91" s="261">
        <v>2.84</v>
      </c>
      <c r="H91" s="262">
        <f t="shared" si="25"/>
        <v>2.84</v>
      </c>
      <c r="I91" s="262">
        <f t="shared" si="25"/>
        <v>2.84</v>
      </c>
      <c r="J91" s="222"/>
      <c r="K91" s="222"/>
      <c r="L91" s="219"/>
      <c r="M91" s="219"/>
      <c r="N91" s="223"/>
      <c r="O91" s="96"/>
    </row>
    <row r="92" spans="1:15" x14ac:dyDescent="0.2">
      <c r="A92" s="61" t="s">
        <v>171</v>
      </c>
      <c r="B92" s="52" t="s">
        <v>22</v>
      </c>
      <c r="C92" s="245">
        <v>6.3E-2</v>
      </c>
      <c r="D92" s="261">
        <v>5.7000000000000002E-2</v>
      </c>
      <c r="E92" s="262">
        <f>$D$92</f>
        <v>5.7000000000000002E-2</v>
      </c>
      <c r="F92" s="262">
        <f t="shared" ref="F92:I92" si="27">$D$92</f>
        <v>5.7000000000000002E-2</v>
      </c>
      <c r="G92" s="262">
        <f t="shared" si="27"/>
        <v>5.7000000000000002E-2</v>
      </c>
      <c r="H92" s="262">
        <f t="shared" si="27"/>
        <v>5.7000000000000002E-2</v>
      </c>
      <c r="I92" s="262">
        <f t="shared" si="27"/>
        <v>5.7000000000000002E-2</v>
      </c>
      <c r="J92" s="222"/>
      <c r="K92" s="222"/>
      <c r="L92" s="219"/>
      <c r="M92" s="219"/>
      <c r="N92" s="219"/>
      <c r="O92" s="96"/>
    </row>
    <row r="93" spans="1:15" ht="37.5" x14ac:dyDescent="0.2">
      <c r="A93" s="60" t="s">
        <v>41</v>
      </c>
      <c r="B93" s="52" t="s">
        <v>22</v>
      </c>
      <c r="C93" s="245">
        <v>0.98899999999999999</v>
      </c>
      <c r="D93" s="261">
        <v>0.97699999999999998</v>
      </c>
      <c r="E93" s="262">
        <f>$D$93</f>
        <v>0.97699999999999998</v>
      </c>
      <c r="F93" s="262">
        <f t="shared" ref="F93:I93" si="28">$D$93</f>
        <v>0.97699999999999998</v>
      </c>
      <c r="G93" s="262">
        <f t="shared" si="28"/>
        <v>0.97699999999999998</v>
      </c>
      <c r="H93" s="262">
        <f t="shared" si="28"/>
        <v>0.97699999999999998</v>
      </c>
      <c r="I93" s="262">
        <f t="shared" si="28"/>
        <v>0.97699999999999998</v>
      </c>
      <c r="J93" s="222"/>
      <c r="K93" s="222"/>
      <c r="L93" s="219"/>
      <c r="M93" s="219"/>
      <c r="N93" s="219"/>
      <c r="O93" s="96"/>
    </row>
    <row r="94" spans="1:15" x14ac:dyDescent="0.3">
      <c r="A94" s="72" t="s">
        <v>44</v>
      </c>
      <c r="B94" s="52" t="s">
        <v>22</v>
      </c>
      <c r="C94" s="245">
        <v>1.8420000000000001</v>
      </c>
      <c r="D94" s="261">
        <v>1.877</v>
      </c>
      <c r="E94" s="262">
        <f>$D$94</f>
        <v>1.877</v>
      </c>
      <c r="F94" s="262">
        <f t="shared" ref="F94:I94" si="29">$D$94</f>
        <v>1.877</v>
      </c>
      <c r="G94" s="262">
        <f t="shared" si="29"/>
        <v>1.877</v>
      </c>
      <c r="H94" s="262">
        <f t="shared" si="29"/>
        <v>1.877</v>
      </c>
      <c r="I94" s="262">
        <f t="shared" si="29"/>
        <v>1.877</v>
      </c>
      <c r="J94" s="222"/>
      <c r="K94" s="222"/>
      <c r="L94" s="219"/>
      <c r="M94" s="219"/>
      <c r="N94" s="219"/>
      <c r="O94" s="96"/>
    </row>
    <row r="95" spans="1:15" x14ac:dyDescent="0.3">
      <c r="A95" s="72" t="s">
        <v>45</v>
      </c>
      <c r="B95" s="52" t="s">
        <v>22</v>
      </c>
      <c r="C95" s="245">
        <v>0.754</v>
      </c>
      <c r="D95" s="261">
        <v>0.83199999999999996</v>
      </c>
      <c r="E95" s="262">
        <f>$D$95</f>
        <v>0.83199999999999996</v>
      </c>
      <c r="F95" s="262">
        <f t="shared" ref="F95:I95" si="30">$D$95</f>
        <v>0.83199999999999996</v>
      </c>
      <c r="G95" s="262">
        <f t="shared" si="30"/>
        <v>0.83199999999999996</v>
      </c>
      <c r="H95" s="262">
        <f t="shared" si="30"/>
        <v>0.83199999999999996</v>
      </c>
      <c r="I95" s="262">
        <f t="shared" si="30"/>
        <v>0.83199999999999996</v>
      </c>
      <c r="J95" s="222"/>
      <c r="K95" s="222"/>
      <c r="L95" s="219"/>
      <c r="M95" s="219"/>
      <c r="N95" s="219"/>
      <c r="O95" s="96"/>
    </row>
    <row r="96" spans="1:15" x14ac:dyDescent="0.3">
      <c r="A96" s="72" t="s">
        <v>47</v>
      </c>
      <c r="B96" s="52" t="s">
        <v>22</v>
      </c>
      <c r="C96" s="245">
        <v>1.5769999999999982</v>
      </c>
      <c r="D96" s="261">
        <f>D79-(D81+D85+D86+D87+D88+D89+D90+D91+D92+D93+D94+D95)</f>
        <v>1.6009999999999973</v>
      </c>
      <c r="E96" s="262">
        <f>E79-(E81+E85+E86+E87+E88+E89+E90+E91+E92+E93+E94+E95)</f>
        <v>1.5909999999999975</v>
      </c>
      <c r="F96" s="261">
        <f t="shared" ref="F96:I96" si="31">F79-(F81+F85+F86+F87+F88+F89+F90+F91+F92+F93+F94+F95)</f>
        <v>1.5909999999999975</v>
      </c>
      <c r="G96" s="261">
        <f t="shared" si="31"/>
        <v>1.5909999999999975</v>
      </c>
      <c r="H96" s="261">
        <f t="shared" si="31"/>
        <v>1.5909999999999975</v>
      </c>
      <c r="I96" s="261">
        <f t="shared" si="31"/>
        <v>1.5909999999999975</v>
      </c>
      <c r="J96" s="222"/>
      <c r="K96" s="222"/>
      <c r="L96" s="219"/>
      <c r="M96" s="219"/>
      <c r="N96" s="219"/>
      <c r="O96" s="96"/>
    </row>
    <row r="97" spans="1:9" ht="54.75" customHeight="1" x14ac:dyDescent="0.3">
      <c r="A97" s="74" t="s">
        <v>417</v>
      </c>
      <c r="B97" s="52" t="s">
        <v>22</v>
      </c>
      <c r="C97" s="263">
        <v>2.0649999999999999</v>
      </c>
      <c r="D97" s="264">
        <v>2.08</v>
      </c>
      <c r="E97" s="265">
        <v>2.09</v>
      </c>
      <c r="F97" s="263">
        <v>2.121</v>
      </c>
      <c r="G97" s="263">
        <v>2.121</v>
      </c>
      <c r="H97" s="263">
        <v>2.121</v>
      </c>
      <c r="I97" s="263">
        <v>2.121</v>
      </c>
    </row>
    <row r="98" spans="1:9" x14ac:dyDescent="0.3">
      <c r="A98" s="75" t="s">
        <v>46</v>
      </c>
      <c r="B98" s="52"/>
      <c r="C98" s="245"/>
      <c r="D98" s="245"/>
      <c r="E98" s="262"/>
      <c r="F98" s="245"/>
      <c r="G98" s="260"/>
      <c r="H98" s="245"/>
      <c r="I98" s="260"/>
    </row>
    <row r="99" spans="1:9" ht="37.5" x14ac:dyDescent="0.2">
      <c r="A99" s="99" t="s">
        <v>266</v>
      </c>
      <c r="B99" s="52" t="s">
        <v>22</v>
      </c>
      <c r="C99" s="193">
        <v>0.17399999999999999</v>
      </c>
      <c r="D99" s="193">
        <v>0.16500000000000001</v>
      </c>
      <c r="E99" s="262">
        <v>0.16700000000000001</v>
      </c>
      <c r="F99" s="262">
        <v>0.16800000000000001</v>
      </c>
      <c r="G99" s="262">
        <v>0.16800000000000001</v>
      </c>
      <c r="H99" s="262">
        <v>0.16800000000000001</v>
      </c>
      <c r="I99" s="262">
        <v>0.16800000000000001</v>
      </c>
    </row>
    <row r="100" spans="1:9" x14ac:dyDescent="0.3">
      <c r="A100" s="100" t="s">
        <v>172</v>
      </c>
      <c r="B100" s="52" t="s">
        <v>22</v>
      </c>
      <c r="C100" s="245"/>
      <c r="D100" s="245"/>
      <c r="E100" s="262"/>
      <c r="F100" s="245"/>
      <c r="G100" s="260"/>
      <c r="H100" s="245"/>
      <c r="I100" s="266"/>
    </row>
    <row r="101" spans="1:9" x14ac:dyDescent="0.3">
      <c r="A101" s="100" t="s">
        <v>41</v>
      </c>
      <c r="B101" s="52" t="s">
        <v>21</v>
      </c>
      <c r="C101" s="193">
        <v>0.27500000000000002</v>
      </c>
      <c r="D101" s="193">
        <v>0.27300000000000002</v>
      </c>
      <c r="E101" s="262">
        <v>0.28199999999999997</v>
      </c>
      <c r="F101" s="193">
        <v>0.28199999999999997</v>
      </c>
      <c r="G101" s="193">
        <v>0.28199999999999997</v>
      </c>
      <c r="H101" s="267">
        <v>0.28199999999999997</v>
      </c>
      <c r="I101" s="267">
        <v>0.28199999999999997</v>
      </c>
    </row>
    <row r="102" spans="1:9" x14ac:dyDescent="0.3">
      <c r="A102" s="100" t="s">
        <v>44</v>
      </c>
      <c r="B102" s="52" t="s">
        <v>21</v>
      </c>
      <c r="C102" s="245">
        <v>1.5329999999999999</v>
      </c>
      <c r="D102" s="193">
        <v>1.5389999999999999</v>
      </c>
      <c r="E102" s="262">
        <v>1.5389999999999999</v>
      </c>
      <c r="F102" s="245">
        <v>1.5389999999999999</v>
      </c>
      <c r="G102" s="193">
        <v>1.5389999999999999</v>
      </c>
      <c r="H102" s="268">
        <v>1.5389999999999999</v>
      </c>
      <c r="I102" s="269">
        <v>1.5389999999999999</v>
      </c>
    </row>
    <row r="103" spans="1:9" x14ac:dyDescent="0.3">
      <c r="A103" s="100" t="s">
        <v>274</v>
      </c>
      <c r="B103" s="52" t="s">
        <v>21</v>
      </c>
      <c r="C103" s="246">
        <v>8.3000000000000004E-2</v>
      </c>
      <c r="D103" s="193">
        <v>0.10199999999999999</v>
      </c>
      <c r="E103" s="193">
        <v>0.10199999999999999</v>
      </c>
      <c r="F103" s="193">
        <v>0.13200000000000001</v>
      </c>
      <c r="G103" s="193">
        <v>0.13200000000000001</v>
      </c>
      <c r="H103" s="193">
        <v>0.13200000000000001</v>
      </c>
      <c r="I103" s="193">
        <v>0.13200000000000001</v>
      </c>
    </row>
    <row r="104" spans="1:9" ht="56.25" x14ac:dyDescent="0.3">
      <c r="A104" s="76" t="s">
        <v>418</v>
      </c>
      <c r="B104" s="52" t="s">
        <v>22</v>
      </c>
      <c r="C104" s="263">
        <v>1.4146999999999998</v>
      </c>
      <c r="D104" s="263">
        <f>C104*103.23%</f>
        <v>1.4603948099999999</v>
      </c>
      <c r="E104" s="270">
        <f>D104*101%</f>
        <v>1.4749987580999999</v>
      </c>
      <c r="F104" s="270">
        <f>$E$104</f>
        <v>1.4749987580999999</v>
      </c>
      <c r="G104" s="270">
        <v>1.4750000000000001</v>
      </c>
      <c r="H104" s="270">
        <f>G104</f>
        <v>1.4750000000000001</v>
      </c>
      <c r="I104" s="270">
        <f>H104</f>
        <v>1.4750000000000001</v>
      </c>
    </row>
    <row r="105" spans="1:9" ht="19.5" x14ac:dyDescent="0.2">
      <c r="A105" s="58" t="s">
        <v>23</v>
      </c>
      <c r="B105" s="52"/>
      <c r="C105" s="189"/>
      <c r="D105" s="190"/>
      <c r="E105" s="262"/>
      <c r="F105" s="190"/>
      <c r="G105" s="249"/>
      <c r="H105" s="190"/>
      <c r="I105" s="249"/>
    </row>
    <row r="106" spans="1:9" ht="37.5" x14ac:dyDescent="0.3">
      <c r="A106" s="77" t="s">
        <v>269</v>
      </c>
      <c r="B106" s="52" t="s">
        <v>22</v>
      </c>
      <c r="C106" s="193">
        <v>1.4E-2</v>
      </c>
      <c r="D106" s="193">
        <v>1.4E-2</v>
      </c>
      <c r="E106" s="262">
        <f>$D$106</f>
        <v>1.4E-2</v>
      </c>
      <c r="F106" s="262">
        <f>$E$106</f>
        <v>1.4E-2</v>
      </c>
      <c r="G106" s="262">
        <f t="shared" ref="G106" si="32">$D$106</f>
        <v>1.4E-2</v>
      </c>
      <c r="H106" s="262">
        <f>G106</f>
        <v>1.4E-2</v>
      </c>
      <c r="I106" s="262">
        <f>H106</f>
        <v>1.4E-2</v>
      </c>
    </row>
    <row r="107" spans="1:9" ht="37.5" x14ac:dyDescent="0.2">
      <c r="A107" s="78" t="s">
        <v>136</v>
      </c>
      <c r="B107" s="52" t="s">
        <v>21</v>
      </c>
      <c r="C107" s="252">
        <v>0</v>
      </c>
      <c r="D107" s="252">
        <v>0</v>
      </c>
      <c r="E107" s="271">
        <v>0</v>
      </c>
      <c r="F107" s="271">
        <f>E107</f>
        <v>0</v>
      </c>
      <c r="G107" s="252">
        <v>0</v>
      </c>
      <c r="H107" s="271">
        <f t="shared" ref="H107:I117" si="33">G107</f>
        <v>0</v>
      </c>
      <c r="I107" s="271">
        <f t="shared" si="33"/>
        <v>0</v>
      </c>
    </row>
    <row r="108" spans="1:9" x14ac:dyDescent="0.3">
      <c r="A108" s="79" t="s">
        <v>137</v>
      </c>
      <c r="B108" s="52" t="s">
        <v>22</v>
      </c>
      <c r="C108" s="252">
        <v>0</v>
      </c>
      <c r="D108" s="252">
        <v>0</v>
      </c>
      <c r="E108" s="271">
        <v>0</v>
      </c>
      <c r="F108" s="271">
        <f t="shared" ref="F108:F117" si="34">E108</f>
        <v>0</v>
      </c>
      <c r="G108" s="252">
        <v>0</v>
      </c>
      <c r="H108" s="271">
        <f t="shared" si="33"/>
        <v>0</v>
      </c>
      <c r="I108" s="271">
        <f t="shared" si="33"/>
        <v>0</v>
      </c>
    </row>
    <row r="109" spans="1:9" x14ac:dyDescent="0.3">
      <c r="A109" s="79" t="s">
        <v>138</v>
      </c>
      <c r="B109" s="52" t="s">
        <v>22</v>
      </c>
      <c r="C109" s="245">
        <v>8.9999999999999993E-3</v>
      </c>
      <c r="D109" s="245">
        <v>8.9999999999999993E-3</v>
      </c>
      <c r="E109" s="262">
        <v>8.9999999999999993E-3</v>
      </c>
      <c r="F109" s="262">
        <f t="shared" si="34"/>
        <v>8.9999999999999993E-3</v>
      </c>
      <c r="G109" s="245">
        <v>8.9999999999999993E-3</v>
      </c>
      <c r="H109" s="262">
        <f t="shared" si="33"/>
        <v>8.9999999999999993E-3</v>
      </c>
      <c r="I109" s="262">
        <f t="shared" si="33"/>
        <v>8.9999999999999993E-3</v>
      </c>
    </row>
    <row r="110" spans="1:9" ht="24" customHeight="1" x14ac:dyDescent="0.2">
      <c r="A110" s="61" t="s">
        <v>42</v>
      </c>
      <c r="B110" s="52" t="s">
        <v>22</v>
      </c>
      <c r="C110" s="252">
        <v>0</v>
      </c>
      <c r="D110" s="252">
        <v>0</v>
      </c>
      <c r="E110" s="252">
        <v>0</v>
      </c>
      <c r="F110" s="262">
        <f t="shared" si="34"/>
        <v>0</v>
      </c>
      <c r="G110" s="252">
        <v>0</v>
      </c>
      <c r="H110" s="262">
        <f t="shared" si="33"/>
        <v>0</v>
      </c>
      <c r="I110" s="262">
        <f t="shared" si="33"/>
        <v>0</v>
      </c>
    </row>
    <row r="111" spans="1:9" x14ac:dyDescent="0.3">
      <c r="A111" s="79" t="s">
        <v>43</v>
      </c>
      <c r="B111" s="52" t="s">
        <v>21</v>
      </c>
      <c r="C111" s="245">
        <v>0.28399999999999997</v>
      </c>
      <c r="D111" s="245">
        <v>0.28399999999999997</v>
      </c>
      <c r="E111" s="262">
        <v>0.28399999999999997</v>
      </c>
      <c r="F111" s="262">
        <f t="shared" si="34"/>
        <v>0.28399999999999997</v>
      </c>
      <c r="G111" s="245">
        <v>0.28399999999999997</v>
      </c>
      <c r="H111" s="262">
        <f t="shared" si="33"/>
        <v>0.28399999999999997</v>
      </c>
      <c r="I111" s="262">
        <f t="shared" si="33"/>
        <v>0.28399999999999997</v>
      </c>
    </row>
    <row r="112" spans="1:9" ht="37.5" x14ac:dyDescent="0.2">
      <c r="A112" s="80" t="s">
        <v>139</v>
      </c>
      <c r="B112" s="52" t="s">
        <v>21</v>
      </c>
      <c r="C112" s="245">
        <v>0.13300000000000001</v>
      </c>
      <c r="D112" s="245">
        <v>0.13300000000000001</v>
      </c>
      <c r="E112" s="262">
        <v>0.13300000000000001</v>
      </c>
      <c r="F112" s="262">
        <f>E112</f>
        <v>0.13300000000000001</v>
      </c>
      <c r="G112" s="245">
        <v>0.13300000000000001</v>
      </c>
      <c r="H112" s="262">
        <f>G112</f>
        <v>0.13300000000000001</v>
      </c>
      <c r="I112" s="262">
        <f t="shared" si="33"/>
        <v>0.13300000000000001</v>
      </c>
    </row>
    <row r="113" spans="1:14" ht="56.25" x14ac:dyDescent="0.3">
      <c r="A113" s="79" t="s">
        <v>140</v>
      </c>
      <c r="B113" s="52" t="s">
        <v>21</v>
      </c>
      <c r="C113" s="245">
        <v>6.4000000000000001E-2</v>
      </c>
      <c r="D113" s="245">
        <v>6.4000000000000001E-2</v>
      </c>
      <c r="E113" s="262">
        <v>6.4000000000000001E-2</v>
      </c>
      <c r="F113" s="262">
        <f t="shared" si="34"/>
        <v>6.4000000000000001E-2</v>
      </c>
      <c r="G113" s="245">
        <v>6.4000000000000001E-2</v>
      </c>
      <c r="H113" s="262">
        <f t="shared" si="33"/>
        <v>6.4000000000000001E-2</v>
      </c>
      <c r="I113" s="262">
        <f t="shared" si="33"/>
        <v>6.4000000000000001E-2</v>
      </c>
      <c r="K113" s="219"/>
    </row>
    <row r="114" spans="1:14" x14ac:dyDescent="0.3">
      <c r="A114" s="79" t="s">
        <v>12</v>
      </c>
      <c r="B114" s="52" t="s">
        <v>21</v>
      </c>
      <c r="C114" s="193">
        <v>5.0999999999999997E-2</v>
      </c>
      <c r="D114" s="193">
        <v>5.0999999999999997E-2</v>
      </c>
      <c r="E114" s="262">
        <v>5.0999999999999997E-2</v>
      </c>
      <c r="F114" s="262">
        <f t="shared" si="34"/>
        <v>5.0999999999999997E-2</v>
      </c>
      <c r="G114" s="193">
        <v>5.0999999999999997E-2</v>
      </c>
      <c r="H114" s="262">
        <f t="shared" si="33"/>
        <v>5.0999999999999997E-2</v>
      </c>
      <c r="I114" s="262">
        <f t="shared" si="33"/>
        <v>5.0999999999999997E-2</v>
      </c>
      <c r="J114" s="224"/>
      <c r="K114" s="225"/>
      <c r="L114" s="226"/>
    </row>
    <row r="115" spans="1:14" ht="37.5" x14ac:dyDescent="0.3">
      <c r="A115" s="79" t="s">
        <v>141</v>
      </c>
      <c r="B115" s="52" t="s">
        <v>21</v>
      </c>
      <c r="C115" s="193">
        <v>0.22500000000000001</v>
      </c>
      <c r="D115" s="193">
        <v>0.22500000000000001</v>
      </c>
      <c r="E115" s="262">
        <v>0.22500000000000001</v>
      </c>
      <c r="F115" s="262">
        <f t="shared" si="34"/>
        <v>0.22500000000000001</v>
      </c>
      <c r="G115" s="193">
        <v>0.22500000000000001</v>
      </c>
      <c r="H115" s="262">
        <f t="shared" si="33"/>
        <v>0.22500000000000001</v>
      </c>
      <c r="I115" s="262">
        <f t="shared" si="33"/>
        <v>0.22500000000000001</v>
      </c>
      <c r="J115" s="224"/>
      <c r="K115" s="225"/>
      <c r="L115" s="226"/>
    </row>
    <row r="116" spans="1:14" x14ac:dyDescent="0.2">
      <c r="A116" s="61" t="s">
        <v>170</v>
      </c>
      <c r="B116" s="52"/>
      <c r="C116" s="245">
        <v>3.7999999999999999E-2</v>
      </c>
      <c r="D116" s="245">
        <v>3.7999999999999999E-2</v>
      </c>
      <c r="E116" s="262">
        <v>3.7999999999999999E-2</v>
      </c>
      <c r="F116" s="262">
        <f t="shared" si="34"/>
        <v>3.7999999999999999E-2</v>
      </c>
      <c r="G116" s="245">
        <v>3.7999999999999999E-2</v>
      </c>
      <c r="H116" s="262">
        <f t="shared" si="33"/>
        <v>3.7999999999999999E-2</v>
      </c>
      <c r="I116" s="262">
        <f t="shared" si="33"/>
        <v>3.7999999999999999E-2</v>
      </c>
      <c r="J116" s="224"/>
      <c r="K116" s="225"/>
      <c r="L116" s="226"/>
    </row>
    <row r="117" spans="1:14" x14ac:dyDescent="0.2">
      <c r="A117" s="61" t="s">
        <v>171</v>
      </c>
      <c r="B117" s="52"/>
      <c r="C117" s="245">
        <v>1.4E-2</v>
      </c>
      <c r="D117" s="245">
        <v>1.4E-2</v>
      </c>
      <c r="E117" s="262">
        <v>1.4E-2</v>
      </c>
      <c r="F117" s="262">
        <f t="shared" si="34"/>
        <v>1.4E-2</v>
      </c>
      <c r="G117" s="245">
        <v>1.4E-2</v>
      </c>
      <c r="H117" s="262">
        <f t="shared" si="33"/>
        <v>1.4E-2</v>
      </c>
      <c r="I117" s="262">
        <f t="shared" si="33"/>
        <v>1.4E-2</v>
      </c>
      <c r="J117" s="224"/>
      <c r="K117" s="225"/>
      <c r="L117" s="226"/>
    </row>
    <row r="118" spans="1:14" x14ac:dyDescent="0.3">
      <c r="A118" s="79" t="s">
        <v>47</v>
      </c>
      <c r="B118" s="52" t="s">
        <v>21</v>
      </c>
      <c r="C118" s="193">
        <f>C104-(C106+C109+C111+C112+C113+C114+C115+C116+C117)</f>
        <v>0.58269999999999977</v>
      </c>
      <c r="D118" s="193">
        <f>D104-(D106+D109+D111+D112+D113+D114+D115+D116+D117)</f>
        <v>0.62839480999999986</v>
      </c>
      <c r="E118" s="193">
        <f>E104-(E106+E109+E111+E112+E113+E114+E115+E116+E117)</f>
        <v>0.64299875809999985</v>
      </c>
      <c r="F118" s="193">
        <f t="shared" ref="F118:H118" si="35">F104-(F106+F109+F111+F112+F113+F114+F115+F116+F117)</f>
        <v>0.64299875809999985</v>
      </c>
      <c r="G118" s="193">
        <f t="shared" si="35"/>
        <v>0.64300000000000002</v>
      </c>
      <c r="H118" s="193">
        <f t="shared" si="35"/>
        <v>0.64300000000000002</v>
      </c>
      <c r="I118" s="193">
        <f>I104-(I106+I109+I111+I112+I113+I114+I115+I116+I117)</f>
        <v>0.64300000000000002</v>
      </c>
      <c r="J118" s="224"/>
      <c r="K118" s="225"/>
      <c r="L118" s="226"/>
    </row>
    <row r="119" spans="1:14" ht="39" x14ac:dyDescent="0.2">
      <c r="A119" s="62" t="s">
        <v>91</v>
      </c>
      <c r="B119" s="52" t="s">
        <v>8</v>
      </c>
      <c r="C119" s="238">
        <v>0.4</v>
      </c>
      <c r="D119" s="238">
        <v>0.25</v>
      </c>
      <c r="E119" s="238">
        <v>0.3</v>
      </c>
      <c r="F119" s="238">
        <v>0.2</v>
      </c>
      <c r="G119" s="241">
        <v>0.3</v>
      </c>
      <c r="H119" s="238">
        <v>0.3</v>
      </c>
      <c r="I119" s="241">
        <v>0.3</v>
      </c>
      <c r="K119" s="225"/>
    </row>
    <row r="120" spans="1:14" ht="58.5" x14ac:dyDescent="0.2">
      <c r="A120" s="58" t="s">
        <v>71</v>
      </c>
      <c r="B120" s="52" t="s">
        <v>9</v>
      </c>
      <c r="C120" s="241">
        <v>34050.946742605913</v>
      </c>
      <c r="D120" s="241">
        <f>D146/D79/12*1000</f>
        <v>42656.71734025461</v>
      </c>
      <c r="E120" s="241">
        <v>43303.736725035436</v>
      </c>
      <c r="F120" s="241">
        <v>44365.269054062825</v>
      </c>
      <c r="G120" s="241">
        <v>44858.963253312344</v>
      </c>
      <c r="H120" s="241">
        <v>46064.362525444543</v>
      </c>
      <c r="I120" s="241">
        <v>47231.885559832794</v>
      </c>
      <c r="J120" s="214" t="s">
        <v>416</v>
      </c>
      <c r="K120" s="227"/>
    </row>
    <row r="121" spans="1:14" ht="19.5" x14ac:dyDescent="0.2">
      <c r="A121" s="58" t="s">
        <v>23</v>
      </c>
      <c r="B121" s="52"/>
      <c r="C121" s="189"/>
      <c r="D121" s="189"/>
      <c r="E121" s="189"/>
      <c r="F121" s="189"/>
      <c r="G121" s="189"/>
      <c r="H121" s="189"/>
      <c r="I121" s="189"/>
      <c r="J121" s="217">
        <v>1.0649999999999999</v>
      </c>
      <c r="K121" s="217">
        <v>1.026</v>
      </c>
      <c r="L121" s="217">
        <v>1.036</v>
      </c>
      <c r="M121" s="217">
        <v>1.028</v>
      </c>
      <c r="N121" s="217">
        <v>1.0249999999999999</v>
      </c>
    </row>
    <row r="122" spans="1:14" ht="37.5" x14ac:dyDescent="0.3">
      <c r="A122" s="71" t="s">
        <v>135</v>
      </c>
      <c r="B122" s="52" t="s">
        <v>9</v>
      </c>
      <c r="C122" s="272">
        <v>34963</v>
      </c>
      <c r="D122" s="272">
        <v>48369.5</v>
      </c>
      <c r="E122" s="246">
        <f>D122*$J$121</f>
        <v>51513.517499999994</v>
      </c>
      <c r="F122" s="246">
        <f>E122*$K$121</f>
        <v>52852.868954999998</v>
      </c>
      <c r="G122" s="260">
        <f>E122*$L$121</f>
        <v>53368.004129999994</v>
      </c>
      <c r="H122" s="260">
        <f>G122*$M$121</f>
        <v>54862.308245639993</v>
      </c>
      <c r="I122" s="260">
        <f>H122*$N$121</f>
        <v>56233.865951780987</v>
      </c>
    </row>
    <row r="123" spans="1:14" ht="37.5" x14ac:dyDescent="0.2">
      <c r="A123" s="60" t="s">
        <v>136</v>
      </c>
      <c r="B123" s="52" t="s">
        <v>9</v>
      </c>
      <c r="C123" s="245"/>
      <c r="D123" s="245"/>
      <c r="E123" s="246"/>
      <c r="F123" s="246"/>
      <c r="G123" s="260"/>
      <c r="H123" s="260"/>
      <c r="I123" s="260"/>
    </row>
    <row r="124" spans="1:14" x14ac:dyDescent="0.3">
      <c r="A124" s="72" t="s">
        <v>137</v>
      </c>
      <c r="B124" s="52" t="s">
        <v>9</v>
      </c>
      <c r="C124" s="245"/>
      <c r="D124" s="245"/>
      <c r="E124" s="246"/>
      <c r="F124" s="246"/>
      <c r="G124" s="260"/>
      <c r="H124" s="260"/>
      <c r="I124" s="260"/>
    </row>
    <row r="125" spans="1:14" x14ac:dyDescent="0.3">
      <c r="A125" s="72" t="s">
        <v>138</v>
      </c>
      <c r="B125" s="52" t="s">
        <v>9</v>
      </c>
      <c r="C125" s="245"/>
      <c r="D125" s="245"/>
      <c r="E125" s="246"/>
      <c r="F125" s="246"/>
      <c r="G125" s="260"/>
      <c r="H125" s="260"/>
      <c r="I125" s="260"/>
    </row>
    <row r="126" spans="1:14" x14ac:dyDescent="0.3">
      <c r="A126" s="72" t="s">
        <v>42</v>
      </c>
      <c r="B126" s="52" t="s">
        <v>9</v>
      </c>
      <c r="C126" s="273">
        <v>58077.4</v>
      </c>
      <c r="D126" s="273">
        <v>65217.4</v>
      </c>
      <c r="E126" s="246">
        <f>D126*$J$121</f>
        <v>69456.531000000003</v>
      </c>
      <c r="F126" s="246">
        <f t="shared" ref="F126:F136" si="36">E126*$K$121</f>
        <v>71262.400806000005</v>
      </c>
      <c r="G126" s="260">
        <f t="shared" ref="G126:G136" si="37">E126*$L$121</f>
        <v>71956.966116000011</v>
      </c>
      <c r="H126" s="260">
        <f t="shared" ref="H126:H136" si="38">G126*$M$121</f>
        <v>73971.761167248012</v>
      </c>
      <c r="I126" s="260">
        <f t="shared" ref="I126:I136" si="39">H126*$N$121</f>
        <v>75821.05519642921</v>
      </c>
    </row>
    <row r="127" spans="1:14" x14ac:dyDescent="0.3">
      <c r="A127" s="72" t="s">
        <v>43</v>
      </c>
      <c r="B127" s="52" t="s">
        <v>9</v>
      </c>
      <c r="C127" s="273">
        <v>46281.7</v>
      </c>
      <c r="D127" s="273">
        <v>49125.52</v>
      </c>
      <c r="E127" s="246">
        <f t="shared" ref="E127:E136" si="40">D127*$J$121</f>
        <v>52318.678799999994</v>
      </c>
      <c r="F127" s="246">
        <f t="shared" si="36"/>
        <v>53678.964448799998</v>
      </c>
      <c r="G127" s="260">
        <f t="shared" si="37"/>
        <v>54202.151236799997</v>
      </c>
      <c r="H127" s="260">
        <f t="shared" si="38"/>
        <v>55719.811471430396</v>
      </c>
      <c r="I127" s="260">
        <f t="shared" si="39"/>
        <v>57112.806758216153</v>
      </c>
    </row>
    <row r="128" spans="1:14" ht="37.5" x14ac:dyDescent="0.2">
      <c r="A128" s="80" t="s">
        <v>139</v>
      </c>
      <c r="B128" s="52" t="s">
        <v>9</v>
      </c>
      <c r="C128" s="273">
        <v>52240.3</v>
      </c>
      <c r="D128" s="273">
        <v>59609</v>
      </c>
      <c r="E128" s="246">
        <f t="shared" si="40"/>
        <v>63483.584999999999</v>
      </c>
      <c r="F128" s="246">
        <f t="shared" si="36"/>
        <v>65134.158210000001</v>
      </c>
      <c r="G128" s="260">
        <f t="shared" si="37"/>
        <v>65768.994059999997</v>
      </c>
      <c r="H128" s="260">
        <f t="shared" si="38"/>
        <v>67610.525893679995</v>
      </c>
      <c r="I128" s="260">
        <f t="shared" si="39"/>
        <v>69300.789041021984</v>
      </c>
    </row>
    <row r="129" spans="1:14" x14ac:dyDescent="0.3">
      <c r="A129" s="72" t="s">
        <v>140</v>
      </c>
      <c r="B129" s="52" t="s">
        <v>9</v>
      </c>
      <c r="C129" s="273">
        <v>34970</v>
      </c>
      <c r="D129" s="273">
        <v>39150.1</v>
      </c>
      <c r="E129" s="246">
        <f t="shared" si="40"/>
        <v>41694.856499999994</v>
      </c>
      <c r="F129" s="246">
        <f t="shared" si="36"/>
        <v>42778.922768999997</v>
      </c>
      <c r="G129" s="260">
        <f t="shared" si="37"/>
        <v>43195.871333999996</v>
      </c>
      <c r="H129" s="260">
        <f t="shared" si="38"/>
        <v>44405.355731352</v>
      </c>
      <c r="I129" s="260">
        <f t="shared" si="39"/>
        <v>45515.489624635797</v>
      </c>
    </row>
    <row r="130" spans="1:14" x14ac:dyDescent="0.2">
      <c r="A130" s="60" t="s">
        <v>12</v>
      </c>
      <c r="B130" s="52" t="s">
        <v>9</v>
      </c>
      <c r="C130" s="273">
        <v>57638.5</v>
      </c>
      <c r="D130" s="273">
        <v>63364.9</v>
      </c>
      <c r="E130" s="246">
        <f t="shared" si="40"/>
        <v>67483.618499999997</v>
      </c>
      <c r="F130" s="246">
        <f t="shared" si="36"/>
        <v>69238.192580999996</v>
      </c>
      <c r="G130" s="260">
        <f t="shared" si="37"/>
        <v>69913.028766000003</v>
      </c>
      <c r="H130" s="260">
        <f t="shared" si="38"/>
        <v>71870.593571448</v>
      </c>
      <c r="I130" s="260">
        <f t="shared" si="39"/>
        <v>73667.358410734189</v>
      </c>
    </row>
    <row r="131" spans="1:14" ht="37.5" x14ac:dyDescent="0.3">
      <c r="A131" s="71" t="s">
        <v>141</v>
      </c>
      <c r="B131" s="52" t="s">
        <v>9</v>
      </c>
      <c r="C131" s="273">
        <v>36287</v>
      </c>
      <c r="D131" s="273">
        <v>36851.85</v>
      </c>
      <c r="E131" s="246">
        <f t="shared" si="40"/>
        <v>39247.220249999998</v>
      </c>
      <c r="F131" s="246">
        <f t="shared" si="36"/>
        <v>40267.647976499997</v>
      </c>
      <c r="G131" s="260">
        <f t="shared" si="37"/>
        <v>40660.120178999998</v>
      </c>
      <c r="H131" s="260">
        <f t="shared" si="38"/>
        <v>41798.603544011996</v>
      </c>
      <c r="I131" s="260">
        <f t="shared" si="39"/>
        <v>42843.568632612289</v>
      </c>
    </row>
    <row r="132" spans="1:14" x14ac:dyDescent="0.2">
      <c r="A132" s="61" t="s">
        <v>170</v>
      </c>
      <c r="B132" s="52" t="s">
        <v>9</v>
      </c>
      <c r="C132" s="246">
        <v>54530.65</v>
      </c>
      <c r="D132" s="245">
        <v>54517</v>
      </c>
      <c r="E132" s="246">
        <f t="shared" si="40"/>
        <v>58060.604999999996</v>
      </c>
      <c r="F132" s="246">
        <f t="shared" si="36"/>
        <v>59570.18073</v>
      </c>
      <c r="G132" s="260">
        <f t="shared" si="37"/>
        <v>60150.786779999995</v>
      </c>
      <c r="H132" s="260">
        <f t="shared" si="38"/>
        <v>61835.008809839994</v>
      </c>
      <c r="I132" s="260">
        <f t="shared" si="39"/>
        <v>63380.884030085988</v>
      </c>
    </row>
    <row r="133" spans="1:14" x14ac:dyDescent="0.2">
      <c r="A133" s="61" t="s">
        <v>171</v>
      </c>
      <c r="B133" s="52" t="s">
        <v>9</v>
      </c>
      <c r="C133" s="246">
        <v>36276.32</v>
      </c>
      <c r="D133" s="245">
        <v>46279</v>
      </c>
      <c r="E133" s="246">
        <f t="shared" si="40"/>
        <v>49287.134999999995</v>
      </c>
      <c r="F133" s="246">
        <f t="shared" si="36"/>
        <v>50568.600509999997</v>
      </c>
      <c r="G133" s="260">
        <f t="shared" si="37"/>
        <v>51061.471859999998</v>
      </c>
      <c r="H133" s="260">
        <f t="shared" si="38"/>
        <v>52491.193072080001</v>
      </c>
      <c r="I133" s="260">
        <f t="shared" si="39"/>
        <v>53803.472898881999</v>
      </c>
    </row>
    <row r="134" spans="1:14" ht="37.5" x14ac:dyDescent="0.3">
      <c r="A134" s="71" t="s">
        <v>41</v>
      </c>
      <c r="B134" s="52" t="s">
        <v>9</v>
      </c>
      <c r="C134" s="273">
        <v>64185.599999999999</v>
      </c>
      <c r="D134" s="273">
        <v>68984</v>
      </c>
      <c r="E134" s="246">
        <f t="shared" si="40"/>
        <v>73467.959999999992</v>
      </c>
      <c r="F134" s="246">
        <f t="shared" si="36"/>
        <v>75378.126959999994</v>
      </c>
      <c r="G134" s="260">
        <f t="shared" si="37"/>
        <v>76112.806559999997</v>
      </c>
      <c r="H134" s="260">
        <f t="shared" si="38"/>
        <v>78243.965143680005</v>
      </c>
      <c r="I134" s="260">
        <f t="shared" si="39"/>
        <v>80200.064272271993</v>
      </c>
    </row>
    <row r="135" spans="1:14" x14ac:dyDescent="0.3">
      <c r="A135" s="73" t="s">
        <v>44</v>
      </c>
      <c r="B135" s="52" t="s">
        <v>9</v>
      </c>
      <c r="C135" s="273">
        <v>39733.199999999997</v>
      </c>
      <c r="D135" s="273">
        <v>44717.3</v>
      </c>
      <c r="E135" s="246">
        <f t="shared" si="40"/>
        <v>47623.924500000001</v>
      </c>
      <c r="F135" s="246">
        <f t="shared" si="36"/>
        <v>48862.146537000001</v>
      </c>
      <c r="G135" s="260">
        <f>E135*$L$121</f>
        <v>49338.385782000005</v>
      </c>
      <c r="H135" s="260">
        <f t="shared" si="38"/>
        <v>50719.860583896007</v>
      </c>
      <c r="I135" s="260">
        <f t="shared" si="39"/>
        <v>51987.857098493405</v>
      </c>
    </row>
    <row r="136" spans="1:14" x14ac:dyDescent="0.3">
      <c r="A136" s="72" t="s">
        <v>45</v>
      </c>
      <c r="B136" s="52" t="s">
        <v>9</v>
      </c>
      <c r="C136" s="273">
        <v>48658</v>
      </c>
      <c r="D136" s="273">
        <v>53338.2</v>
      </c>
      <c r="E136" s="246">
        <f t="shared" si="40"/>
        <v>56805.182999999997</v>
      </c>
      <c r="F136" s="246">
        <f t="shared" si="36"/>
        <v>58282.117758</v>
      </c>
      <c r="G136" s="260">
        <f t="shared" si="37"/>
        <v>58850.169587999997</v>
      </c>
      <c r="H136" s="260">
        <f t="shared" si="38"/>
        <v>60497.974336464002</v>
      </c>
      <c r="I136" s="260">
        <f t="shared" si="39"/>
        <v>62010.423694875593</v>
      </c>
    </row>
    <row r="137" spans="1:14" x14ac:dyDescent="0.3">
      <c r="A137" s="72" t="s">
        <v>47</v>
      </c>
      <c r="B137" s="52" t="s">
        <v>9</v>
      </c>
      <c r="C137" s="246"/>
      <c r="D137" s="245"/>
      <c r="E137" s="246"/>
      <c r="F137" s="246"/>
      <c r="G137" s="260"/>
      <c r="H137" s="260"/>
      <c r="I137" s="260"/>
    </row>
    <row r="138" spans="1:14" ht="58.9" customHeight="1" x14ac:dyDescent="0.3">
      <c r="A138" s="74" t="s">
        <v>420</v>
      </c>
      <c r="B138" s="52" t="s">
        <v>9</v>
      </c>
      <c r="C138" s="246">
        <v>42499.3</v>
      </c>
      <c r="D138" s="246">
        <v>49838.26525156929</v>
      </c>
      <c r="E138" s="246">
        <v>52396.363570293157</v>
      </c>
      <c r="F138" s="246">
        <v>55713.072536365231</v>
      </c>
      <c r="G138" s="246">
        <v>55971.242473975828</v>
      </c>
      <c r="H138" s="246">
        <v>59557.274541374441</v>
      </c>
      <c r="I138" s="246">
        <v>63309.382837481025</v>
      </c>
    </row>
    <row r="139" spans="1:14" x14ac:dyDescent="0.3">
      <c r="A139" s="75" t="s">
        <v>116</v>
      </c>
      <c r="B139" s="52"/>
      <c r="C139" s="189"/>
      <c r="D139" s="190"/>
      <c r="E139" s="190"/>
      <c r="F139" s="190"/>
      <c r="G139" s="249"/>
      <c r="H139" s="190"/>
      <c r="I139" s="249"/>
    </row>
    <row r="140" spans="1:14" s="115" customFormat="1" ht="25.5" customHeight="1" x14ac:dyDescent="0.3">
      <c r="A140" s="125" t="s">
        <v>277</v>
      </c>
      <c r="B140" s="126" t="s">
        <v>9</v>
      </c>
      <c r="C140" s="274">
        <v>63672.332163636362</v>
      </c>
      <c r="D140" s="274">
        <v>74733.660811965834</v>
      </c>
      <c r="E140" s="275">
        <v>77825.867316599266</v>
      </c>
      <c r="F140" s="275">
        <v>83974.110834610619</v>
      </c>
      <c r="G140" s="275">
        <v>84363.240171193611</v>
      </c>
      <c r="H140" s="275">
        <v>89768.324482198761</v>
      </c>
      <c r="I140" s="275">
        <v>95423.728924577284</v>
      </c>
      <c r="J140" s="195"/>
      <c r="K140" s="195"/>
      <c r="L140" s="195"/>
      <c r="M140" s="195"/>
      <c r="N140" s="195"/>
    </row>
    <row r="141" spans="1:14" s="115" customFormat="1" x14ac:dyDescent="0.3">
      <c r="A141" s="127" t="s">
        <v>44</v>
      </c>
      <c r="B141" s="126" t="s">
        <v>9</v>
      </c>
      <c r="C141" s="274">
        <v>38731.632644053054</v>
      </c>
      <c r="D141" s="276">
        <v>45673.679192657568</v>
      </c>
      <c r="E141" s="277">
        <v>47213.034374052411</v>
      </c>
      <c r="F141" s="277">
        <v>50942.864089602554</v>
      </c>
      <c r="G141" s="277">
        <v>51178.929261472818</v>
      </c>
      <c r="H141" s="277">
        <v>54457.921711785137</v>
      </c>
      <c r="I141" s="277">
        <v>57888.770779627594</v>
      </c>
      <c r="J141" s="195"/>
      <c r="K141" s="195"/>
      <c r="L141" s="195"/>
      <c r="M141" s="195"/>
      <c r="N141" s="195"/>
    </row>
    <row r="142" spans="1:14" s="115" customFormat="1" ht="37.5" x14ac:dyDescent="0.2">
      <c r="A142" s="128" t="s">
        <v>266</v>
      </c>
      <c r="B142" s="126" t="s">
        <v>9</v>
      </c>
      <c r="C142" s="274">
        <v>42041.926302681997</v>
      </c>
      <c r="D142" s="275">
        <v>47733.395919442417</v>
      </c>
      <c r="E142" s="275">
        <v>45394.642310266463</v>
      </c>
      <c r="F142" s="275">
        <v>48689.266558415751</v>
      </c>
      <c r="G142" s="275">
        <v>48914.888738945941</v>
      </c>
      <c r="H142" s="275">
        <v>52048.825950946426</v>
      </c>
      <c r="I142" s="275">
        <v>55327.901985856057</v>
      </c>
      <c r="J142" s="195"/>
      <c r="K142" s="195"/>
      <c r="L142" s="195"/>
      <c r="M142" s="195"/>
      <c r="N142" s="195"/>
    </row>
    <row r="143" spans="1:14" s="115" customFormat="1" x14ac:dyDescent="0.3">
      <c r="A143" s="129" t="s">
        <v>172</v>
      </c>
      <c r="B143" s="126" t="s">
        <v>9</v>
      </c>
      <c r="C143" s="274"/>
      <c r="D143" s="274"/>
      <c r="E143" s="274"/>
      <c r="F143" s="274"/>
      <c r="G143" s="274"/>
      <c r="H143" s="274"/>
      <c r="I143" s="274"/>
      <c r="J143" s="195"/>
      <c r="K143" s="195"/>
      <c r="L143" s="195"/>
      <c r="M143" s="195"/>
      <c r="N143" s="195"/>
    </row>
    <row r="144" spans="1:14" s="115" customFormat="1" x14ac:dyDescent="0.3">
      <c r="A144" s="130" t="s">
        <v>274</v>
      </c>
      <c r="B144" s="126" t="s">
        <v>9</v>
      </c>
      <c r="C144" s="274">
        <v>42893.392446978782</v>
      </c>
      <c r="D144" s="275">
        <v>49437.362986588159</v>
      </c>
      <c r="E144" s="275">
        <v>71905.939417729795</v>
      </c>
      <c r="F144" s="275">
        <v>60008.085233953199</v>
      </c>
      <c r="G144" s="275">
        <v>60286.157918077166</v>
      </c>
      <c r="H144" s="275">
        <v>64148.643115095976</v>
      </c>
      <c r="I144" s="275">
        <v>68190.00763134702</v>
      </c>
      <c r="J144" s="195"/>
      <c r="K144" s="195"/>
      <c r="L144" s="195"/>
      <c r="M144" s="195"/>
      <c r="N144" s="195"/>
    </row>
    <row r="145" spans="1:14" ht="60" customHeight="1" x14ac:dyDescent="0.2">
      <c r="A145" s="87" t="s">
        <v>421</v>
      </c>
      <c r="B145" s="52" t="s">
        <v>9</v>
      </c>
      <c r="C145" s="278">
        <v>15311.82</v>
      </c>
      <c r="D145" s="278">
        <v>16242</v>
      </c>
      <c r="E145" s="278">
        <v>19242</v>
      </c>
      <c r="F145" s="278">
        <f>E145</f>
        <v>19242</v>
      </c>
      <c r="G145" s="278">
        <f>E145*L121</f>
        <v>19934.712</v>
      </c>
      <c r="H145" s="278">
        <f>G145*M121</f>
        <v>20492.883935999998</v>
      </c>
      <c r="I145" s="278">
        <f>H145*N121</f>
        <v>21005.206034399995</v>
      </c>
    </row>
    <row r="146" spans="1:14" ht="42.75" customHeight="1" x14ac:dyDescent="0.25">
      <c r="A146" s="89" t="s">
        <v>69</v>
      </c>
      <c r="B146" s="52" t="s">
        <v>6</v>
      </c>
      <c r="C146" s="239">
        <v>5452.51</v>
      </c>
      <c r="D146" s="239">
        <v>6902.71</v>
      </c>
      <c r="E146" s="239">
        <v>7607.5</v>
      </c>
      <c r="F146" s="239">
        <v>7173.8640060419584</v>
      </c>
      <c r="G146" s="239">
        <v>8143.9</v>
      </c>
      <c r="H146" s="239">
        <v>8544.5</v>
      </c>
      <c r="I146" s="239">
        <v>8929.5</v>
      </c>
      <c r="J146" s="228"/>
    </row>
    <row r="147" spans="1:14" x14ac:dyDescent="0.2">
      <c r="A147" s="90" t="s">
        <v>23</v>
      </c>
      <c r="B147" s="126"/>
      <c r="C147" s="189"/>
      <c r="D147" s="189"/>
      <c r="E147" s="189"/>
      <c r="F147" s="279"/>
      <c r="G147" s="279"/>
      <c r="H147" s="279"/>
      <c r="I147" s="279"/>
    </row>
    <row r="148" spans="1:14" ht="37.5" x14ac:dyDescent="0.2">
      <c r="A148" s="90" t="s">
        <v>70</v>
      </c>
      <c r="B148" s="52" t="s">
        <v>6</v>
      </c>
      <c r="C148" s="246">
        <v>0</v>
      </c>
      <c r="D148" s="246">
        <f>D145*12*D104/1000</f>
        <v>284.63679004823996</v>
      </c>
      <c r="E148" s="246">
        <f>E145*12*E104/1000</f>
        <v>340.5831132403224</v>
      </c>
      <c r="F148" s="246">
        <f>F145*12*F104/1000</f>
        <v>340.5831132403224</v>
      </c>
      <c r="G148" s="246">
        <f t="shared" ref="G148:I148" si="41">G145*12*G104/1000</f>
        <v>352.84440240000004</v>
      </c>
      <c r="H148" s="246">
        <f t="shared" si="41"/>
        <v>362.72404566720002</v>
      </c>
      <c r="I148" s="246">
        <f t="shared" si="41"/>
        <v>371.79214680887998</v>
      </c>
    </row>
    <row r="149" spans="1:14" ht="37.5" x14ac:dyDescent="0.2">
      <c r="A149" s="90" t="s">
        <v>75</v>
      </c>
      <c r="B149" s="52" t="s">
        <v>6</v>
      </c>
      <c r="C149" s="246">
        <v>5.8737840000000006</v>
      </c>
      <c r="D149" s="246">
        <f t="shared" ref="D149:I149" si="42">D106*D122*12/1000</f>
        <v>8.1260759999999994</v>
      </c>
      <c r="E149" s="246">
        <f>E106*E122*12/1000</f>
        <v>8.6542709399999982</v>
      </c>
      <c r="F149" s="246">
        <f>F106*F122*12/1000</f>
        <v>8.8792819844400004</v>
      </c>
      <c r="G149" s="246">
        <f t="shared" si="42"/>
        <v>8.9658246938400001</v>
      </c>
      <c r="H149" s="246">
        <f t="shared" si="42"/>
        <v>9.2168677852675192</v>
      </c>
      <c r="I149" s="246">
        <f t="shared" si="42"/>
        <v>9.4472894798992062</v>
      </c>
    </row>
    <row r="150" spans="1:14" ht="37.5" x14ac:dyDescent="0.2">
      <c r="A150" s="90" t="s">
        <v>92</v>
      </c>
      <c r="B150" s="52" t="s">
        <v>6</v>
      </c>
      <c r="C150" s="280">
        <v>1053.29</v>
      </c>
      <c r="D150" s="280">
        <v>1246.5</v>
      </c>
      <c r="E150" s="280">
        <f>E138*E97*1000*12/1000000</f>
        <v>1314.1007983429522</v>
      </c>
      <c r="F150" s="280">
        <f t="shared" ref="F150:I150" si="43">F138*F97*1000*12/1000000</f>
        <v>1418.0091221955679</v>
      </c>
      <c r="G150" s="280">
        <f t="shared" si="43"/>
        <v>1424.5800634476327</v>
      </c>
      <c r="H150" s="280">
        <f t="shared" si="43"/>
        <v>1515.8517516270624</v>
      </c>
      <c r="I150" s="280">
        <f t="shared" si="43"/>
        <v>1611.3504119795671</v>
      </c>
      <c r="J150" s="229"/>
    </row>
    <row r="151" spans="1:14" ht="19.5" x14ac:dyDescent="0.2">
      <c r="A151" s="89" t="s">
        <v>24</v>
      </c>
      <c r="B151" s="52" t="s">
        <v>6</v>
      </c>
      <c r="C151" s="238">
        <v>89.55</v>
      </c>
      <c r="D151" s="239">
        <v>91.972999999999999</v>
      </c>
      <c r="E151" s="239">
        <f>D151*J121</f>
        <v>97.951245</v>
      </c>
      <c r="F151" s="239">
        <f>G151</f>
        <v>101.47748982</v>
      </c>
      <c r="G151" s="239">
        <f>E151*L121</f>
        <v>101.47748982</v>
      </c>
      <c r="H151" s="239">
        <f>G151*M121</f>
        <v>104.31885953496001</v>
      </c>
      <c r="I151" s="239">
        <f>H151*N121</f>
        <v>106.926831023334</v>
      </c>
    </row>
    <row r="152" spans="1:14" ht="19.5" x14ac:dyDescent="0.2">
      <c r="A152" s="89" t="s">
        <v>2</v>
      </c>
      <c r="B152" s="52" t="s">
        <v>6</v>
      </c>
      <c r="C152" s="189"/>
      <c r="D152" s="190"/>
      <c r="E152" s="190"/>
      <c r="F152" s="190"/>
      <c r="G152" s="249"/>
      <c r="H152" s="190"/>
      <c r="I152" s="249"/>
    </row>
    <row r="153" spans="1:14" ht="39" x14ac:dyDescent="0.2">
      <c r="A153" s="108" t="s">
        <v>103</v>
      </c>
      <c r="B153" s="55" t="s">
        <v>6</v>
      </c>
      <c r="C153" s="254">
        <v>5542.06</v>
      </c>
      <c r="D153" s="254">
        <f>D146+D151</f>
        <v>6994.683</v>
      </c>
      <c r="E153" s="254">
        <f t="shared" ref="E153:I153" si="44">E146+E151</f>
        <v>7705.4512450000002</v>
      </c>
      <c r="F153" s="254">
        <f>F146+F151</f>
        <v>7275.3414958619587</v>
      </c>
      <c r="G153" s="254">
        <f>G146+G151</f>
        <v>8245.377489819999</v>
      </c>
      <c r="H153" s="254">
        <f t="shared" si="44"/>
        <v>8648.8188595349602</v>
      </c>
      <c r="I153" s="254">
        <f t="shared" si="44"/>
        <v>9036.4268310233347</v>
      </c>
    </row>
    <row r="154" spans="1:14" x14ac:dyDescent="0.2">
      <c r="A154" s="377" t="s">
        <v>112</v>
      </c>
      <c r="B154" s="378"/>
      <c r="C154" s="378"/>
      <c r="D154" s="378"/>
      <c r="E154" s="378"/>
      <c r="F154" s="378"/>
      <c r="G154" s="378"/>
      <c r="H154" s="378"/>
      <c r="I154" s="378"/>
    </row>
    <row r="155" spans="1:14" s="115" customFormat="1" ht="39" x14ac:dyDescent="0.2">
      <c r="A155" s="120" t="s">
        <v>109</v>
      </c>
      <c r="B155" s="114" t="s">
        <v>6</v>
      </c>
      <c r="C155" s="281">
        <v>380.55</v>
      </c>
      <c r="D155" s="281">
        <f>D157+D158+D164</f>
        <v>446.464</v>
      </c>
      <c r="E155" s="281">
        <v>487.81</v>
      </c>
      <c r="F155" s="281">
        <v>498.10300000000001</v>
      </c>
      <c r="G155" s="281">
        <v>502.14600000000002</v>
      </c>
      <c r="H155" s="281">
        <v>516.24599999999998</v>
      </c>
      <c r="I155" s="281">
        <v>528.89599999999996</v>
      </c>
      <c r="J155" s="195"/>
      <c r="K155" s="195"/>
      <c r="L155" s="195"/>
      <c r="M155" s="195"/>
      <c r="N155" s="195"/>
    </row>
    <row r="156" spans="1:14" s="115" customFormat="1" x14ac:dyDescent="0.2">
      <c r="A156" s="121" t="s">
        <v>23</v>
      </c>
      <c r="B156" s="114" t="s">
        <v>6</v>
      </c>
      <c r="C156" s="288"/>
      <c r="D156" s="282"/>
      <c r="E156" s="282"/>
      <c r="F156" s="283"/>
      <c r="G156" s="283"/>
      <c r="H156" s="283"/>
      <c r="I156" s="283"/>
      <c r="J156" s="195"/>
      <c r="K156" s="195"/>
      <c r="L156" s="195"/>
      <c r="M156" s="195"/>
      <c r="N156" s="195"/>
    </row>
    <row r="157" spans="1:14" s="115" customFormat="1" x14ac:dyDescent="0.25">
      <c r="A157" s="122" t="s">
        <v>107</v>
      </c>
      <c r="B157" s="114" t="s">
        <v>6</v>
      </c>
      <c r="C157" s="284">
        <v>292.39061199999998</v>
      </c>
      <c r="D157" s="284">
        <v>370.16</v>
      </c>
      <c r="E157" s="278">
        <v>407.95299999999997</v>
      </c>
      <c r="F157" s="278">
        <v>418.55700000000002</v>
      </c>
      <c r="G157" s="278">
        <v>422.637</v>
      </c>
      <c r="H157" s="278">
        <v>434.47</v>
      </c>
      <c r="I157" s="278">
        <v>445.33</v>
      </c>
      <c r="J157" s="230"/>
      <c r="K157" s="230"/>
      <c r="L157" s="195"/>
      <c r="M157" s="195"/>
      <c r="N157" s="195"/>
    </row>
    <row r="158" spans="1:14" s="115" customFormat="1" x14ac:dyDescent="0.2">
      <c r="A158" s="122" t="s">
        <v>108</v>
      </c>
      <c r="B158" s="114" t="s">
        <v>6</v>
      </c>
      <c r="C158" s="284">
        <v>40.136080999999997</v>
      </c>
      <c r="D158" s="284">
        <v>29.21</v>
      </c>
      <c r="E158" s="278">
        <v>30.283652</v>
      </c>
      <c r="F158" s="278">
        <v>30.135595647999999</v>
      </c>
      <c r="G158" s="278">
        <v>30.244378881999999</v>
      </c>
      <c r="H158" s="278">
        <v>31.002735291680001</v>
      </c>
      <c r="I158" s="278">
        <v>31.2237961682048</v>
      </c>
      <c r="J158" s="195"/>
      <c r="K158" s="195"/>
      <c r="L158" s="195"/>
      <c r="M158" s="195"/>
      <c r="N158" s="195"/>
    </row>
    <row r="159" spans="1:14" s="115" customFormat="1" x14ac:dyDescent="0.2">
      <c r="A159" s="123" t="s">
        <v>104</v>
      </c>
      <c r="B159" s="114" t="s">
        <v>6</v>
      </c>
      <c r="C159" s="285">
        <v>34.466240999999997</v>
      </c>
      <c r="D159" s="285">
        <v>21.95</v>
      </c>
      <c r="E159" s="237">
        <v>23.356457000000002</v>
      </c>
      <c r="F159" s="237">
        <v>22.984946393000001</v>
      </c>
      <c r="G159" s="237">
        <v>23.093642282999998</v>
      </c>
      <c r="H159" s="237">
        <v>23.428259014320002</v>
      </c>
      <c r="I159" s="237">
        <v>23.626699163052798</v>
      </c>
      <c r="J159" s="195"/>
      <c r="K159" s="195"/>
      <c r="L159" s="195"/>
      <c r="M159" s="195"/>
      <c r="N159" s="195"/>
    </row>
    <row r="160" spans="1:14" s="115" customFormat="1" ht="31.5" x14ac:dyDescent="0.2">
      <c r="A160" s="124" t="s">
        <v>117</v>
      </c>
      <c r="B160" s="114" t="s">
        <v>6</v>
      </c>
      <c r="C160" s="285">
        <v>2932.05</v>
      </c>
      <c r="D160" s="285">
        <v>2532.12</v>
      </c>
      <c r="E160" s="237">
        <v>2532.1149999999998</v>
      </c>
      <c r="F160" s="237">
        <v>2532.1149999999998</v>
      </c>
      <c r="G160" s="237">
        <v>2532.1149999999998</v>
      </c>
      <c r="H160" s="237">
        <v>2532.1149999999998</v>
      </c>
      <c r="I160" s="237">
        <v>2532.1149999999998</v>
      </c>
      <c r="J160" s="195"/>
      <c r="K160" s="195"/>
      <c r="L160" s="195"/>
      <c r="M160" s="195"/>
      <c r="N160" s="195"/>
    </row>
    <row r="161" spans="1:14" s="115" customFormat="1" x14ac:dyDescent="0.2">
      <c r="A161" s="124" t="s">
        <v>115</v>
      </c>
      <c r="B161" s="114" t="s">
        <v>6</v>
      </c>
      <c r="C161" s="285">
        <v>11.23</v>
      </c>
      <c r="D161" s="285">
        <v>11.82</v>
      </c>
      <c r="E161" s="237">
        <v>11.821000000000002</v>
      </c>
      <c r="F161" s="237">
        <v>11.821000000000002</v>
      </c>
      <c r="G161" s="237">
        <v>11.821000000000002</v>
      </c>
      <c r="H161" s="237">
        <v>11.821000000000002</v>
      </c>
      <c r="I161" s="237">
        <v>11.821000000000002</v>
      </c>
      <c r="J161" s="195"/>
      <c r="K161" s="195"/>
      <c r="L161" s="195"/>
      <c r="M161" s="195"/>
      <c r="N161" s="195"/>
    </row>
    <row r="162" spans="1:14" s="115" customFormat="1" x14ac:dyDescent="0.2">
      <c r="A162" s="123" t="s">
        <v>105</v>
      </c>
      <c r="B162" s="114" t="s">
        <v>6</v>
      </c>
      <c r="C162" s="285">
        <v>5.6698399999999998</v>
      </c>
      <c r="D162" s="285">
        <v>7.26</v>
      </c>
      <c r="E162" s="237">
        <v>6.9271949999999984</v>
      </c>
      <c r="F162" s="237">
        <v>7.1506492549999994</v>
      </c>
      <c r="G162" s="237">
        <v>7.150736599</v>
      </c>
      <c r="H162" s="237">
        <v>7.5744762773599996</v>
      </c>
      <c r="I162" s="237">
        <v>7.5970970051519995</v>
      </c>
      <c r="J162" s="195"/>
      <c r="K162" s="195"/>
      <c r="L162" s="195"/>
      <c r="M162" s="195"/>
      <c r="N162" s="195"/>
    </row>
    <row r="163" spans="1:14" s="115" customFormat="1" ht="36.6" customHeight="1" x14ac:dyDescent="0.2">
      <c r="A163" s="124" t="s">
        <v>118</v>
      </c>
      <c r="B163" s="114" t="s">
        <v>6</v>
      </c>
      <c r="C163" s="285">
        <v>4761.41</v>
      </c>
      <c r="D163" s="285">
        <v>4761.41</v>
      </c>
      <c r="E163" s="285">
        <v>4761.41</v>
      </c>
      <c r="F163" s="285">
        <v>4761.41</v>
      </c>
      <c r="G163" s="285">
        <v>4761.41</v>
      </c>
      <c r="H163" s="285">
        <v>4761.41</v>
      </c>
      <c r="I163" s="285">
        <v>4761.41</v>
      </c>
      <c r="J163" s="195"/>
      <c r="K163" s="195"/>
      <c r="L163" s="195"/>
      <c r="M163" s="195"/>
      <c r="N163" s="195"/>
    </row>
    <row r="164" spans="1:14" s="115" customFormat="1" x14ac:dyDescent="0.2">
      <c r="A164" s="122" t="s">
        <v>113</v>
      </c>
      <c r="B164" s="114"/>
      <c r="C164" s="284">
        <v>48.02</v>
      </c>
      <c r="D164" s="284">
        <f>D165+D166+D167</f>
        <v>47.094000000000001</v>
      </c>
      <c r="E164" s="284">
        <f>E165+E166+E167</f>
        <v>49.572999999999993</v>
      </c>
      <c r="F164" s="284">
        <f t="shared" ref="F164:I164" si="45">F165+F166+F167</f>
        <v>49.410000000000011</v>
      </c>
      <c r="G164" s="284">
        <f t="shared" si="45"/>
        <v>49.265000000000001</v>
      </c>
      <c r="H164" s="284">
        <f t="shared" si="45"/>
        <v>50.772999999999996</v>
      </c>
      <c r="I164" s="284">
        <f t="shared" si="45"/>
        <v>52.342240000000004</v>
      </c>
      <c r="J164" s="195"/>
      <c r="K164" s="195"/>
      <c r="L164" s="195"/>
      <c r="M164" s="195"/>
      <c r="N164" s="195"/>
    </row>
    <row r="165" spans="1:14" s="115" customFormat="1" ht="31.5" x14ac:dyDescent="0.2">
      <c r="A165" s="113" t="s">
        <v>275</v>
      </c>
      <c r="B165" s="114" t="s">
        <v>6</v>
      </c>
      <c r="C165" s="286">
        <v>38.93</v>
      </c>
      <c r="D165" s="286">
        <v>44.88</v>
      </c>
      <c r="E165" s="502">
        <v>37.631999999999998</v>
      </c>
      <c r="F165" s="502">
        <v>37.709000000000003</v>
      </c>
      <c r="G165" s="502">
        <v>37.564999999999998</v>
      </c>
      <c r="H165" s="502">
        <v>39.067</v>
      </c>
      <c r="I165" s="502">
        <v>40.630000000000003</v>
      </c>
      <c r="J165" s="195"/>
      <c r="K165" s="195"/>
      <c r="L165" s="195"/>
      <c r="M165" s="195"/>
      <c r="N165" s="195"/>
    </row>
    <row r="166" spans="1:14" s="115" customFormat="1" x14ac:dyDescent="0.2">
      <c r="A166" s="116" t="s">
        <v>276</v>
      </c>
      <c r="B166" s="117" t="s">
        <v>6</v>
      </c>
      <c r="C166" s="286">
        <v>6.5000000000000002E-2</v>
      </c>
      <c r="D166" s="286">
        <v>0.16400000000000001</v>
      </c>
      <c r="E166" s="286">
        <v>0.14399999999999999</v>
      </c>
      <c r="F166" s="286">
        <v>0.151</v>
      </c>
      <c r="G166" s="286">
        <v>0.15</v>
      </c>
      <c r="H166" s="286">
        <f>G166*104%</f>
        <v>0.156</v>
      </c>
      <c r="I166" s="286">
        <f>H166*104%</f>
        <v>0.16224</v>
      </c>
      <c r="J166" s="195"/>
      <c r="K166" s="195"/>
      <c r="L166" s="195"/>
      <c r="M166" s="195"/>
      <c r="N166" s="195"/>
    </row>
    <row r="167" spans="1:14" s="118" customFormat="1" ht="34.5" customHeight="1" x14ac:dyDescent="0.2">
      <c r="A167" s="119" t="s">
        <v>106</v>
      </c>
      <c r="B167" s="117" t="s">
        <v>6</v>
      </c>
      <c r="C167" s="287">
        <v>9.1</v>
      </c>
      <c r="D167" s="287">
        <v>2.0499999999999998</v>
      </c>
      <c r="E167" s="503">
        <v>11.797000000000001</v>
      </c>
      <c r="F167" s="503">
        <v>11.55</v>
      </c>
      <c r="G167" s="503">
        <v>11.55</v>
      </c>
      <c r="H167" s="503">
        <v>11.55</v>
      </c>
      <c r="I167" s="503">
        <v>11.55</v>
      </c>
      <c r="J167" s="231"/>
      <c r="K167" s="231"/>
      <c r="L167" s="231"/>
      <c r="M167" s="231"/>
      <c r="N167" s="231"/>
    </row>
    <row r="168" spans="1:14" x14ac:dyDescent="0.3">
      <c r="E168" s="501"/>
      <c r="F168" s="501"/>
      <c r="G168" s="501"/>
      <c r="H168" s="501"/>
      <c r="I168" s="501"/>
      <c r="J168" s="500"/>
      <c r="K168" s="500"/>
      <c r="L168" s="500"/>
    </row>
  </sheetData>
  <mergeCells count="15">
    <mergeCell ref="A1:I1"/>
    <mergeCell ref="H4:H5"/>
    <mergeCell ref="I4:I5"/>
    <mergeCell ref="A3:A5"/>
    <mergeCell ref="B3:B5"/>
    <mergeCell ref="F3:I3"/>
    <mergeCell ref="F4:G4"/>
    <mergeCell ref="J3:N3"/>
    <mergeCell ref="A6:I6"/>
    <mergeCell ref="A154:I154"/>
    <mergeCell ref="A77:I77"/>
    <mergeCell ref="A24:I24"/>
    <mergeCell ref="E3:E5"/>
    <mergeCell ref="C3:C5"/>
    <mergeCell ref="D3:D5"/>
  </mergeCells>
  <phoneticPr fontId="14" type="noConversion"/>
  <printOptions horizontalCentered="1"/>
  <pageMargins left="0.39370078740157483" right="0" top="0.19685039370078741" bottom="0.19685039370078741" header="0" footer="0"/>
  <pageSetup paperSize="9" scale="45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50"/>
    <pageSetUpPr fitToPage="1"/>
  </sheetPr>
  <dimension ref="A1:AF337"/>
  <sheetViews>
    <sheetView view="pageBreakPreview" zoomScale="51" zoomScaleNormal="60" zoomScaleSheetLayoutView="51" workbookViewId="0">
      <pane xSplit="9" ySplit="1" topLeftCell="J2" activePane="bottomRight" state="frozen"/>
      <selection pane="topRight" activeCell="J1" sqref="J1"/>
      <selection pane="bottomLeft" activeCell="A11" sqref="A11"/>
      <selection pane="bottomRight" activeCell="A103" sqref="A103"/>
    </sheetView>
  </sheetViews>
  <sheetFormatPr defaultRowHeight="12.75" x14ac:dyDescent="0.2"/>
  <cols>
    <col min="1" max="1" width="94.28515625" customWidth="1"/>
    <col min="2" max="2" width="24.28515625" style="43" customWidth="1"/>
    <col min="3" max="3" width="13.5703125" hidden="1" customWidth="1"/>
    <col min="4" max="5" width="13.5703125" bestFit="1" customWidth="1"/>
    <col min="6" max="6" width="13.7109375" customWidth="1"/>
    <col min="7" max="7" width="13.85546875" bestFit="1" customWidth="1"/>
    <col min="8" max="8" width="15.85546875" bestFit="1" customWidth="1"/>
    <col min="9" max="9" width="17.140625" customWidth="1"/>
    <col min="10" max="10" width="24.140625" style="35" customWidth="1"/>
    <col min="11" max="11" width="17.28515625" hidden="1" customWidth="1"/>
    <col min="12" max="12" width="22" customWidth="1"/>
    <col min="13" max="13" width="26" customWidth="1"/>
    <col min="14" max="14" width="17.28515625" bestFit="1" customWidth="1"/>
    <col min="15" max="15" width="22.28515625" customWidth="1"/>
    <col min="16" max="16" width="21.5703125" customWidth="1"/>
    <col min="17" max="17" width="20.85546875" customWidth="1"/>
    <col min="18" max="18" width="16.5703125" customWidth="1"/>
    <col min="19" max="20" width="16.5703125" bestFit="1" customWidth="1"/>
    <col min="21" max="21" width="16.7109375" bestFit="1" customWidth="1"/>
    <col min="22" max="22" width="17.85546875" customWidth="1"/>
    <col min="23" max="23" width="17.5703125" style="183" customWidth="1"/>
    <col min="24" max="24" width="23.7109375" style="183" customWidth="1"/>
    <col min="25" max="27" width="13.5703125" style="183" bestFit="1" customWidth="1"/>
    <col min="28" max="28" width="9.140625" style="183"/>
  </cols>
  <sheetData>
    <row r="1" spans="1:32" ht="91.5" customHeight="1" x14ac:dyDescent="0.2">
      <c r="A1" s="32"/>
      <c r="B1" s="35"/>
      <c r="C1" s="32"/>
      <c r="D1" s="32"/>
      <c r="E1" s="32"/>
      <c r="F1" s="32"/>
      <c r="G1" s="32"/>
      <c r="H1" s="32"/>
      <c r="I1" s="32"/>
      <c r="J1" s="33"/>
      <c r="K1" s="33"/>
      <c r="L1" s="33"/>
      <c r="M1" s="33"/>
      <c r="N1" s="33"/>
      <c r="O1" s="383" t="s">
        <v>438</v>
      </c>
      <c r="P1" s="383"/>
      <c r="Q1" s="383"/>
      <c r="R1" s="383"/>
      <c r="S1" s="383"/>
      <c r="T1" s="383"/>
      <c r="U1" s="383"/>
      <c r="V1" s="383"/>
      <c r="W1" s="289"/>
      <c r="X1" s="289"/>
      <c r="Y1" s="289"/>
      <c r="Z1" s="289"/>
      <c r="AA1" s="289"/>
    </row>
    <row r="2" spans="1:32" ht="82.5" customHeight="1" x14ac:dyDescent="0.35">
      <c r="A2" s="384" t="s">
        <v>64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110"/>
      <c r="X2" s="290" t="s">
        <v>434</v>
      </c>
    </row>
    <row r="3" spans="1:32" ht="20.25" x14ac:dyDescent="0.2">
      <c r="A3" s="385" t="s">
        <v>25</v>
      </c>
      <c r="B3" s="385"/>
      <c r="C3" s="385"/>
      <c r="D3" s="385"/>
      <c r="E3" s="385"/>
      <c r="F3" s="385"/>
      <c r="G3" s="385"/>
      <c r="H3" s="385"/>
      <c r="I3" s="385"/>
      <c r="J3" s="385"/>
      <c r="K3" s="385"/>
      <c r="L3" s="385"/>
      <c r="M3" s="385"/>
      <c r="N3" s="385"/>
      <c r="O3" s="385"/>
      <c r="P3" s="385"/>
      <c r="Q3" s="385"/>
      <c r="R3" s="385"/>
      <c r="S3" s="385"/>
      <c r="T3" s="385"/>
      <c r="U3" s="385"/>
      <c r="V3" s="111"/>
    </row>
    <row r="5" spans="1:32" ht="97.5" customHeight="1" x14ac:dyDescent="0.3">
      <c r="A5" s="395" t="s">
        <v>56</v>
      </c>
      <c r="B5" s="386" t="s">
        <v>65</v>
      </c>
      <c r="C5" s="387"/>
      <c r="D5" s="387"/>
      <c r="E5" s="387"/>
      <c r="F5" s="387"/>
      <c r="G5" s="387"/>
      <c r="H5" s="387"/>
      <c r="I5" s="388"/>
      <c r="J5" s="389" t="s">
        <v>26</v>
      </c>
      <c r="K5" s="386" t="s">
        <v>370</v>
      </c>
      <c r="L5" s="387"/>
      <c r="M5" s="387"/>
      <c r="N5" s="387"/>
      <c r="O5" s="387"/>
      <c r="P5" s="387"/>
      <c r="Q5" s="388"/>
      <c r="R5" s="390" t="s">
        <v>134</v>
      </c>
      <c r="S5" s="391"/>
      <c r="T5" s="391"/>
      <c r="U5" s="391"/>
      <c r="V5" s="391"/>
      <c r="W5" s="291"/>
      <c r="X5" s="291"/>
      <c r="Y5" s="291"/>
      <c r="Z5" s="291"/>
      <c r="AA5" s="291"/>
      <c r="AB5" s="292"/>
      <c r="AC5" s="1"/>
      <c r="AD5" s="1"/>
      <c r="AE5" s="1"/>
      <c r="AF5" s="1"/>
    </row>
    <row r="6" spans="1:32" ht="78.75" customHeight="1" x14ac:dyDescent="0.3">
      <c r="A6" s="395"/>
      <c r="B6" s="112" t="s">
        <v>4</v>
      </c>
      <c r="C6" s="112" t="s">
        <v>371</v>
      </c>
      <c r="D6" s="185" t="s">
        <v>271</v>
      </c>
      <c r="E6" s="185" t="s">
        <v>272</v>
      </c>
      <c r="F6" s="185" t="s">
        <v>273</v>
      </c>
      <c r="G6" s="185" t="s">
        <v>391</v>
      </c>
      <c r="H6" s="185" t="s">
        <v>411</v>
      </c>
      <c r="I6" s="112" t="s">
        <v>437</v>
      </c>
      <c r="J6" s="389"/>
      <c r="K6" s="112" t="s">
        <v>371</v>
      </c>
      <c r="L6" s="199" t="s">
        <v>271</v>
      </c>
      <c r="M6" s="199" t="s">
        <v>272</v>
      </c>
      <c r="N6" s="199" t="s">
        <v>273</v>
      </c>
      <c r="O6" s="199" t="s">
        <v>391</v>
      </c>
      <c r="P6" s="199" t="s">
        <v>411</v>
      </c>
      <c r="Q6" s="199" t="s">
        <v>437</v>
      </c>
      <c r="R6" s="201" t="s">
        <v>272</v>
      </c>
      <c r="S6" s="201" t="s">
        <v>273</v>
      </c>
      <c r="T6" s="201" t="s">
        <v>391</v>
      </c>
      <c r="U6" s="201" t="s">
        <v>411</v>
      </c>
      <c r="V6" s="201" t="s">
        <v>437</v>
      </c>
      <c r="W6" s="291"/>
      <c r="AB6" s="292"/>
      <c r="AC6" s="1"/>
      <c r="AD6" s="1"/>
      <c r="AE6" s="1"/>
      <c r="AF6" s="1"/>
    </row>
    <row r="7" spans="1:32" ht="81" x14ac:dyDescent="0.25">
      <c r="A7" s="102" t="s">
        <v>27</v>
      </c>
      <c r="B7" s="103">
        <v>1</v>
      </c>
      <c r="C7" s="103">
        <v>2</v>
      </c>
      <c r="D7" s="103">
        <v>2</v>
      </c>
      <c r="E7" s="103">
        <v>3</v>
      </c>
      <c r="F7" s="103">
        <v>4</v>
      </c>
      <c r="G7" s="103">
        <v>5</v>
      </c>
      <c r="H7" s="103">
        <v>6</v>
      </c>
      <c r="I7" s="103">
        <v>7</v>
      </c>
      <c r="J7" s="103">
        <v>8</v>
      </c>
      <c r="K7" s="103">
        <v>9</v>
      </c>
      <c r="L7" s="103">
        <v>9</v>
      </c>
      <c r="M7" s="103">
        <v>10</v>
      </c>
      <c r="N7" s="103">
        <v>11</v>
      </c>
      <c r="O7" s="103">
        <v>12</v>
      </c>
      <c r="P7" s="103">
        <v>13</v>
      </c>
      <c r="Q7" s="134">
        <v>14</v>
      </c>
      <c r="R7" s="104" t="s">
        <v>372</v>
      </c>
      <c r="S7" s="104" t="s">
        <v>373</v>
      </c>
      <c r="T7" s="104" t="s">
        <v>374</v>
      </c>
      <c r="U7" s="104" t="s">
        <v>375</v>
      </c>
      <c r="V7" s="104" t="s">
        <v>376</v>
      </c>
      <c r="AB7" s="292"/>
      <c r="AC7" s="1"/>
      <c r="AD7" s="1"/>
      <c r="AE7" s="1"/>
      <c r="AF7" s="1"/>
    </row>
    <row r="8" spans="1:32" ht="27" x14ac:dyDescent="0.35">
      <c r="A8" s="396" t="s">
        <v>28</v>
      </c>
      <c r="B8" s="397"/>
      <c r="C8" s="397"/>
      <c r="D8" s="397"/>
      <c r="E8" s="397"/>
      <c r="F8" s="397"/>
      <c r="G8" s="397"/>
      <c r="H8" s="397"/>
      <c r="I8" s="397"/>
      <c r="J8" s="397"/>
      <c r="K8" s="397"/>
      <c r="L8" s="397"/>
      <c r="M8" s="397"/>
      <c r="N8" s="397"/>
      <c r="O8" s="397"/>
      <c r="P8" s="397"/>
      <c r="Q8" s="397"/>
      <c r="R8" s="397"/>
      <c r="S8" s="397"/>
      <c r="T8" s="397"/>
      <c r="U8" s="397"/>
      <c r="V8" s="397"/>
      <c r="W8" s="291"/>
      <c r="X8" s="291"/>
      <c r="Y8" s="291"/>
      <c r="Z8" s="291"/>
      <c r="AA8" s="291"/>
      <c r="AB8" s="292"/>
      <c r="AC8" s="1"/>
      <c r="AD8" s="1"/>
      <c r="AE8" s="1"/>
      <c r="AF8" s="1"/>
    </row>
    <row r="9" spans="1:32" ht="27" x14ac:dyDescent="0.25">
      <c r="A9" s="398" t="s">
        <v>257</v>
      </c>
      <c r="B9" s="399"/>
      <c r="C9" s="399"/>
      <c r="D9" s="399"/>
      <c r="E9" s="399"/>
      <c r="F9" s="399"/>
      <c r="G9" s="399"/>
      <c r="H9" s="399"/>
      <c r="I9" s="399"/>
      <c r="J9" s="399"/>
      <c r="K9" s="399"/>
      <c r="L9" s="399"/>
      <c r="M9" s="399"/>
      <c r="N9" s="399"/>
      <c r="O9" s="399"/>
      <c r="P9" s="399"/>
      <c r="Q9" s="399"/>
      <c r="R9" s="399"/>
      <c r="S9" s="399"/>
      <c r="T9" s="399"/>
      <c r="U9" s="399"/>
      <c r="V9" s="399"/>
      <c r="W9" s="293"/>
      <c r="X9" s="293"/>
      <c r="Y9" s="293"/>
      <c r="Z9" s="293"/>
      <c r="AA9" s="293"/>
    </row>
    <row r="10" spans="1:32" s="115" customFormat="1" ht="26.25" x14ac:dyDescent="0.4">
      <c r="A10" s="295" t="s">
        <v>161</v>
      </c>
      <c r="B10" s="296"/>
      <c r="C10" s="297"/>
      <c r="D10" s="297"/>
      <c r="E10" s="297"/>
      <c r="F10" s="297"/>
      <c r="G10" s="298">
        <v>0.97299999999999998</v>
      </c>
      <c r="H10" s="298">
        <v>1.0169999999999999</v>
      </c>
      <c r="I10" s="298">
        <v>1.0149999999999999</v>
      </c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195"/>
      <c r="X10" s="228">
        <v>2024</v>
      </c>
      <c r="Y10" s="228">
        <v>2025</v>
      </c>
      <c r="Z10" s="228">
        <v>2026</v>
      </c>
      <c r="AA10" s="228">
        <v>2027</v>
      </c>
      <c r="AB10" s="195"/>
    </row>
    <row r="11" spans="1:32" s="115" customFormat="1" ht="76.5" x14ac:dyDescent="0.4">
      <c r="A11" s="299" t="s">
        <v>377</v>
      </c>
      <c r="B11" s="300" t="s">
        <v>34</v>
      </c>
      <c r="C11" s="297">
        <v>656.78</v>
      </c>
      <c r="D11" s="297">
        <v>920.04</v>
      </c>
      <c r="E11" s="297">
        <v>943.10900000000004</v>
      </c>
      <c r="F11" s="297">
        <f>E11*$X$11</f>
        <v>1008.183521</v>
      </c>
      <c r="G11" s="297">
        <f>F11*$Y$11</f>
        <v>1056.576330008</v>
      </c>
      <c r="H11" s="297">
        <f>G11*$Z$11</f>
        <v>1091.4433488982638</v>
      </c>
      <c r="I11" s="297">
        <f>H11*$AA$11</f>
        <v>1119.8208759696188</v>
      </c>
      <c r="J11" s="135">
        <v>2280</v>
      </c>
      <c r="K11" s="301">
        <f>C11*J11</f>
        <v>1497458.4</v>
      </c>
      <c r="L11" s="301">
        <f>D11*$J$11</f>
        <v>2097691.1999999997</v>
      </c>
      <c r="M11" s="301">
        <f>E11*$J$11</f>
        <v>2150288.52</v>
      </c>
      <c r="N11" s="301">
        <f t="shared" ref="N11:Q11" si="0">F11*$J$11</f>
        <v>2298658.4278800003</v>
      </c>
      <c r="O11" s="301">
        <f t="shared" si="0"/>
        <v>2408994.0324182399</v>
      </c>
      <c r="P11" s="301">
        <f t="shared" si="0"/>
        <v>2488490.8354880414</v>
      </c>
      <c r="Q11" s="301">
        <f t="shared" si="0"/>
        <v>2553191.5972107309</v>
      </c>
      <c r="R11" s="302">
        <f>M11/L11*100</f>
        <v>102.50739098300075</v>
      </c>
      <c r="S11" s="302">
        <f>N11/M11*100</f>
        <v>106.90000000000002</v>
      </c>
      <c r="T11" s="302">
        <f t="shared" ref="T11:V20" si="1">O11/N11*100</f>
        <v>104.79999999999998</v>
      </c>
      <c r="U11" s="302">
        <f t="shared" si="1"/>
        <v>103.3</v>
      </c>
      <c r="V11" s="302">
        <f>Q11/P11*100</f>
        <v>102.60000000000002</v>
      </c>
      <c r="W11" s="303" t="s">
        <v>422</v>
      </c>
      <c r="X11" s="304">
        <v>1.069</v>
      </c>
      <c r="Y11" s="304">
        <v>1.048</v>
      </c>
      <c r="Z11" s="305">
        <v>1.0329999999999999</v>
      </c>
      <c r="AA11" s="304">
        <v>1.026</v>
      </c>
      <c r="AB11" s="195"/>
    </row>
    <row r="12" spans="1:32" s="115" customFormat="1" ht="26.25" hidden="1" x14ac:dyDescent="0.4">
      <c r="A12" s="299" t="s">
        <v>162</v>
      </c>
      <c r="B12" s="300" t="s">
        <v>34</v>
      </c>
      <c r="C12" s="297"/>
      <c r="D12" s="297"/>
      <c r="E12" s="297"/>
      <c r="F12" s="297">
        <f t="shared" ref="F12:F16" si="2">E12*$X$11</f>
        <v>0</v>
      </c>
      <c r="G12" s="297">
        <f t="shared" ref="G12:G17" si="3">F12*$Y$11</f>
        <v>0</v>
      </c>
      <c r="H12" s="297">
        <f t="shared" ref="H12:H17" si="4">G12*$Z$11</f>
        <v>0</v>
      </c>
      <c r="I12" s="297">
        <f t="shared" ref="I12:I16" si="5">H12*$AA$11</f>
        <v>0</v>
      </c>
      <c r="J12" s="135">
        <v>394.43</v>
      </c>
      <c r="K12" s="301">
        <f t="shared" ref="K12:K16" si="6">C12*J12</f>
        <v>0</v>
      </c>
      <c r="L12" s="296"/>
      <c r="M12" s="301">
        <f t="shared" ref="M12:M16" si="7">E12*J12</f>
        <v>0</v>
      </c>
      <c r="N12" s="301">
        <f t="shared" ref="N12:N16" si="8">F12*J12</f>
        <v>0</v>
      </c>
      <c r="O12" s="301">
        <f t="shared" ref="O12:O16" si="9">G12*J12</f>
        <v>0</v>
      </c>
      <c r="P12" s="296"/>
      <c r="Q12" s="296"/>
      <c r="R12" s="302" t="e">
        <f t="shared" ref="R12:S19" si="10">M12/L12*100</f>
        <v>#DIV/0!</v>
      </c>
      <c r="S12" s="302" t="e">
        <f t="shared" si="10"/>
        <v>#DIV/0!</v>
      </c>
      <c r="T12" s="302" t="e">
        <f t="shared" si="1"/>
        <v>#DIV/0!</v>
      </c>
      <c r="U12" s="302" t="e">
        <f t="shared" si="1"/>
        <v>#DIV/0!</v>
      </c>
      <c r="V12" s="302" t="e">
        <f t="shared" si="1"/>
        <v>#DIV/0!</v>
      </c>
      <c r="W12" s="306"/>
      <c r="X12" s="306"/>
      <c r="Y12" s="306"/>
      <c r="Z12" s="306"/>
      <c r="AA12" s="306"/>
      <c r="AB12" s="195"/>
    </row>
    <row r="13" spans="1:32" s="115" customFormat="1" ht="26.25" hidden="1" x14ac:dyDescent="0.4">
      <c r="A13" s="299" t="s">
        <v>163</v>
      </c>
      <c r="B13" s="300" t="s">
        <v>34</v>
      </c>
      <c r="C13" s="297"/>
      <c r="D13" s="297"/>
      <c r="E13" s="297"/>
      <c r="F13" s="297">
        <f t="shared" si="2"/>
        <v>0</v>
      </c>
      <c r="G13" s="297">
        <f t="shared" si="3"/>
        <v>0</v>
      </c>
      <c r="H13" s="297">
        <f t="shared" si="4"/>
        <v>0</v>
      </c>
      <c r="I13" s="297">
        <f t="shared" si="5"/>
        <v>0</v>
      </c>
      <c r="J13" s="135">
        <v>104.07</v>
      </c>
      <c r="K13" s="301">
        <f t="shared" si="6"/>
        <v>0</v>
      </c>
      <c r="L13" s="296"/>
      <c r="M13" s="301">
        <f t="shared" si="7"/>
        <v>0</v>
      </c>
      <c r="N13" s="301">
        <f t="shared" si="8"/>
        <v>0</v>
      </c>
      <c r="O13" s="301">
        <f t="shared" si="9"/>
        <v>0</v>
      </c>
      <c r="P13" s="296"/>
      <c r="Q13" s="296"/>
      <c r="R13" s="302" t="e">
        <f t="shared" si="10"/>
        <v>#DIV/0!</v>
      </c>
      <c r="S13" s="302" t="e">
        <f t="shared" si="10"/>
        <v>#DIV/0!</v>
      </c>
      <c r="T13" s="302" t="e">
        <f t="shared" si="1"/>
        <v>#DIV/0!</v>
      </c>
      <c r="U13" s="302" t="e">
        <f t="shared" si="1"/>
        <v>#DIV/0!</v>
      </c>
      <c r="V13" s="302" t="e">
        <f t="shared" si="1"/>
        <v>#DIV/0!</v>
      </c>
      <c r="W13" s="306"/>
      <c r="X13" s="306"/>
      <c r="Y13" s="306"/>
      <c r="Z13" s="306"/>
      <c r="AA13" s="306"/>
      <c r="AB13" s="195"/>
    </row>
    <row r="14" spans="1:32" s="115" customFormat="1" ht="26.25" hidden="1" x14ac:dyDescent="0.4">
      <c r="A14" s="299" t="s">
        <v>164</v>
      </c>
      <c r="B14" s="300" t="s">
        <v>29</v>
      </c>
      <c r="C14" s="297"/>
      <c r="D14" s="297"/>
      <c r="E14" s="297"/>
      <c r="F14" s="297">
        <f t="shared" si="2"/>
        <v>0</v>
      </c>
      <c r="G14" s="297">
        <f t="shared" si="3"/>
        <v>0</v>
      </c>
      <c r="H14" s="297">
        <f t="shared" si="4"/>
        <v>0</v>
      </c>
      <c r="I14" s="297">
        <f t="shared" si="5"/>
        <v>0</v>
      </c>
      <c r="J14" s="135">
        <v>245.95</v>
      </c>
      <c r="K14" s="301">
        <f t="shared" si="6"/>
        <v>0</v>
      </c>
      <c r="L14" s="296"/>
      <c r="M14" s="301">
        <f t="shared" si="7"/>
        <v>0</v>
      </c>
      <c r="N14" s="301">
        <f t="shared" si="8"/>
        <v>0</v>
      </c>
      <c r="O14" s="301">
        <f t="shared" si="9"/>
        <v>0</v>
      </c>
      <c r="P14" s="296"/>
      <c r="Q14" s="296"/>
      <c r="R14" s="302" t="e">
        <f t="shared" si="10"/>
        <v>#DIV/0!</v>
      </c>
      <c r="S14" s="302" t="e">
        <f t="shared" si="10"/>
        <v>#DIV/0!</v>
      </c>
      <c r="T14" s="302" t="e">
        <f t="shared" si="1"/>
        <v>#DIV/0!</v>
      </c>
      <c r="U14" s="302" t="e">
        <f t="shared" si="1"/>
        <v>#DIV/0!</v>
      </c>
      <c r="V14" s="302" t="e">
        <f t="shared" si="1"/>
        <v>#DIV/0!</v>
      </c>
      <c r="W14" s="306"/>
      <c r="X14" s="306"/>
      <c r="Y14" s="306"/>
      <c r="Z14" s="306"/>
      <c r="AA14" s="306"/>
      <c r="AB14" s="195"/>
    </row>
    <row r="15" spans="1:32" s="115" customFormat="1" ht="26.25" hidden="1" x14ac:dyDescent="0.4">
      <c r="A15" s="299" t="s">
        <v>165</v>
      </c>
      <c r="B15" s="300" t="s">
        <v>29</v>
      </c>
      <c r="C15" s="297"/>
      <c r="D15" s="297"/>
      <c r="E15" s="297"/>
      <c r="F15" s="297">
        <f t="shared" si="2"/>
        <v>0</v>
      </c>
      <c r="G15" s="297">
        <f t="shared" si="3"/>
        <v>0</v>
      </c>
      <c r="H15" s="297">
        <f t="shared" si="4"/>
        <v>0</v>
      </c>
      <c r="I15" s="297">
        <f t="shared" si="5"/>
        <v>0</v>
      </c>
      <c r="J15" s="135">
        <v>77.53</v>
      </c>
      <c r="K15" s="301">
        <f t="shared" si="6"/>
        <v>0</v>
      </c>
      <c r="L15" s="296"/>
      <c r="M15" s="301">
        <f t="shared" si="7"/>
        <v>0</v>
      </c>
      <c r="N15" s="301">
        <f t="shared" si="8"/>
        <v>0</v>
      </c>
      <c r="O15" s="301">
        <f t="shared" si="9"/>
        <v>0</v>
      </c>
      <c r="P15" s="296"/>
      <c r="Q15" s="296"/>
      <c r="R15" s="302" t="e">
        <f t="shared" si="10"/>
        <v>#DIV/0!</v>
      </c>
      <c r="S15" s="302" t="e">
        <f t="shared" si="10"/>
        <v>#DIV/0!</v>
      </c>
      <c r="T15" s="302" t="e">
        <f t="shared" si="1"/>
        <v>#DIV/0!</v>
      </c>
      <c r="U15" s="302" t="e">
        <f t="shared" si="1"/>
        <v>#DIV/0!</v>
      </c>
      <c r="V15" s="302" t="e">
        <f t="shared" si="1"/>
        <v>#DIV/0!</v>
      </c>
      <c r="W15" s="306"/>
      <c r="X15" s="306"/>
      <c r="Y15" s="306"/>
      <c r="Z15" s="306"/>
      <c r="AA15" s="306"/>
      <c r="AB15" s="195"/>
    </row>
    <row r="16" spans="1:32" s="115" customFormat="1" ht="26.25" hidden="1" x14ac:dyDescent="0.4">
      <c r="A16" s="299" t="s">
        <v>166</v>
      </c>
      <c r="B16" s="300" t="s">
        <v>29</v>
      </c>
      <c r="C16" s="297"/>
      <c r="D16" s="297"/>
      <c r="E16" s="297"/>
      <c r="F16" s="297">
        <f t="shared" si="2"/>
        <v>0</v>
      </c>
      <c r="G16" s="297">
        <f t="shared" si="3"/>
        <v>0</v>
      </c>
      <c r="H16" s="297">
        <f t="shared" si="4"/>
        <v>0</v>
      </c>
      <c r="I16" s="297">
        <f t="shared" si="5"/>
        <v>0</v>
      </c>
      <c r="J16" s="135">
        <v>324.39999999999998</v>
      </c>
      <c r="K16" s="301">
        <f t="shared" si="6"/>
        <v>0</v>
      </c>
      <c r="L16" s="296"/>
      <c r="M16" s="301">
        <f t="shared" si="7"/>
        <v>0</v>
      </c>
      <c r="N16" s="301">
        <f t="shared" si="8"/>
        <v>0</v>
      </c>
      <c r="O16" s="301">
        <f t="shared" si="9"/>
        <v>0</v>
      </c>
      <c r="P16" s="296"/>
      <c r="Q16" s="296"/>
      <c r="R16" s="302" t="e">
        <f t="shared" si="10"/>
        <v>#DIV/0!</v>
      </c>
      <c r="S16" s="302" t="e">
        <f t="shared" si="10"/>
        <v>#DIV/0!</v>
      </c>
      <c r="T16" s="302" t="e">
        <f t="shared" si="1"/>
        <v>#DIV/0!</v>
      </c>
      <c r="U16" s="302" t="e">
        <f t="shared" si="1"/>
        <v>#DIV/0!</v>
      </c>
      <c r="V16" s="302" t="e">
        <f t="shared" si="1"/>
        <v>#DIV/0!</v>
      </c>
      <c r="W16" s="306"/>
      <c r="X16" s="306"/>
      <c r="Y16" s="306"/>
      <c r="Z16" s="306"/>
      <c r="AA16" s="306"/>
      <c r="AB16" s="195"/>
    </row>
    <row r="17" spans="1:28" s="115" customFormat="1" ht="26.25" x14ac:dyDescent="0.4">
      <c r="A17" s="299" t="s">
        <v>167</v>
      </c>
      <c r="B17" s="300" t="s">
        <v>29</v>
      </c>
      <c r="C17" s="297">
        <f>40.54+790.8</f>
        <v>831.33999999999992</v>
      </c>
      <c r="D17" s="307">
        <v>594.20000000000005</v>
      </c>
      <c r="E17" s="307">
        <v>695.7</v>
      </c>
      <c r="F17" s="297">
        <f>E17*$X$11</f>
        <v>743.70330000000001</v>
      </c>
      <c r="G17" s="297">
        <f t="shared" si="3"/>
        <v>779.40105840000001</v>
      </c>
      <c r="H17" s="297">
        <f t="shared" si="4"/>
        <v>805.12129332719996</v>
      </c>
      <c r="I17" s="297">
        <f>H17*$AA$11</f>
        <v>826.05444695370716</v>
      </c>
      <c r="J17" s="135">
        <v>301.42</v>
      </c>
      <c r="K17" s="301">
        <f t="shared" ref="K17:Q17" si="11">C17*$J$17</f>
        <v>250582.50279999999</v>
      </c>
      <c r="L17" s="301">
        <f t="shared" si="11"/>
        <v>179103.76400000002</v>
      </c>
      <c r="M17" s="301">
        <f>E17*$J$17</f>
        <v>209697.89400000003</v>
      </c>
      <c r="N17" s="301">
        <f t="shared" si="11"/>
        <v>224167.04868600002</v>
      </c>
      <c r="O17" s="301">
        <f t="shared" si="11"/>
        <v>234927.06702292801</v>
      </c>
      <c r="P17" s="301">
        <f t="shared" si="11"/>
        <v>242679.66023468462</v>
      </c>
      <c r="Q17" s="301">
        <f t="shared" si="11"/>
        <v>248989.33140078641</v>
      </c>
      <c r="R17" s="302">
        <f>M17/L17*100</f>
        <v>117.08179064288117</v>
      </c>
      <c r="S17" s="302">
        <f t="shared" si="10"/>
        <v>106.89999999999999</v>
      </c>
      <c r="T17" s="302">
        <f t="shared" si="1"/>
        <v>104.79999999999998</v>
      </c>
      <c r="U17" s="302">
        <f t="shared" si="1"/>
        <v>103.3</v>
      </c>
      <c r="V17" s="302">
        <f t="shared" si="1"/>
        <v>102.60000000000001</v>
      </c>
      <c r="W17" s="306"/>
      <c r="X17" s="306"/>
      <c r="Y17" s="306"/>
      <c r="Z17" s="306"/>
      <c r="AA17" s="306"/>
      <c r="AB17" s="195"/>
    </row>
    <row r="18" spans="1:28" s="115" customFormat="1" ht="26.25" hidden="1" x14ac:dyDescent="0.4">
      <c r="A18" s="299" t="s">
        <v>168</v>
      </c>
      <c r="B18" s="300" t="s">
        <v>29</v>
      </c>
      <c r="C18" s="297"/>
      <c r="D18" s="297"/>
      <c r="E18" s="308"/>
      <c r="F18" s="297"/>
      <c r="G18" s="297"/>
      <c r="H18" s="297"/>
      <c r="I18" s="297"/>
      <c r="J18" s="135">
        <v>222.7</v>
      </c>
      <c r="K18" s="296"/>
      <c r="L18" s="296"/>
      <c r="M18" s="296"/>
      <c r="N18" s="296"/>
      <c r="O18" s="296"/>
      <c r="P18" s="296"/>
      <c r="Q18" s="296"/>
      <c r="R18" s="302" t="e">
        <f t="shared" si="10"/>
        <v>#DIV/0!</v>
      </c>
      <c r="S18" s="302" t="e">
        <f t="shared" si="10"/>
        <v>#DIV/0!</v>
      </c>
      <c r="T18" s="302" t="e">
        <f t="shared" si="1"/>
        <v>#DIV/0!</v>
      </c>
      <c r="U18" s="302" t="e">
        <f t="shared" si="1"/>
        <v>#DIV/0!</v>
      </c>
      <c r="V18" s="302" t="e">
        <f t="shared" si="1"/>
        <v>#DIV/0!</v>
      </c>
      <c r="W18" s="306"/>
      <c r="X18" s="306"/>
      <c r="Y18" s="306"/>
      <c r="Z18" s="306"/>
      <c r="AA18" s="306"/>
      <c r="AB18" s="195"/>
    </row>
    <row r="19" spans="1:28" s="115" customFormat="1" ht="26.25" hidden="1" x14ac:dyDescent="0.4">
      <c r="A19" s="299" t="s">
        <v>169</v>
      </c>
      <c r="B19" s="300" t="s">
        <v>29</v>
      </c>
      <c r="C19" s="297"/>
      <c r="D19" s="297"/>
      <c r="E19" s="297"/>
      <c r="F19" s="297"/>
      <c r="G19" s="297"/>
      <c r="H19" s="297"/>
      <c r="I19" s="297"/>
      <c r="J19" s="135">
        <v>168.3</v>
      </c>
      <c r="K19" s="296"/>
      <c r="L19" s="296"/>
      <c r="M19" s="296"/>
      <c r="N19" s="296"/>
      <c r="O19" s="296"/>
      <c r="P19" s="296"/>
      <c r="Q19" s="296"/>
      <c r="R19" s="302" t="e">
        <f t="shared" si="10"/>
        <v>#DIV/0!</v>
      </c>
      <c r="S19" s="302" t="e">
        <f t="shared" si="10"/>
        <v>#DIV/0!</v>
      </c>
      <c r="T19" s="302" t="e">
        <f t="shared" si="1"/>
        <v>#DIV/0!</v>
      </c>
      <c r="U19" s="302" t="e">
        <f t="shared" si="1"/>
        <v>#DIV/0!</v>
      </c>
      <c r="V19" s="302" t="e">
        <f t="shared" si="1"/>
        <v>#DIV/0!</v>
      </c>
      <c r="W19" s="306"/>
      <c r="X19" s="306"/>
      <c r="Y19" s="306"/>
      <c r="Z19" s="306"/>
      <c r="AA19" s="306"/>
      <c r="AB19" s="195"/>
    </row>
    <row r="20" spans="1:28" s="115" customFormat="1" ht="26.25" x14ac:dyDescent="0.4">
      <c r="A20" s="309" t="s">
        <v>31</v>
      </c>
      <c r="B20" s="310" t="s">
        <v>55</v>
      </c>
      <c r="C20" s="311"/>
      <c r="D20" s="311"/>
      <c r="E20" s="312"/>
      <c r="F20" s="311"/>
      <c r="G20" s="311" t="s">
        <v>55</v>
      </c>
      <c r="H20" s="311"/>
      <c r="I20" s="311"/>
      <c r="J20" s="313" t="s">
        <v>55</v>
      </c>
      <c r="K20" s="314">
        <f>K11+K17</f>
        <v>1748040.9027999998</v>
      </c>
      <c r="L20" s="314">
        <f>L11+L17</f>
        <v>2276794.9639999997</v>
      </c>
      <c r="M20" s="314">
        <f t="shared" ref="M20:Q20" si="12">M11+M17</f>
        <v>2359986.4139999999</v>
      </c>
      <c r="N20" s="314">
        <f t="shared" si="12"/>
        <v>2522825.4765660004</v>
      </c>
      <c r="O20" s="314">
        <f t="shared" si="12"/>
        <v>2643921.0994411679</v>
      </c>
      <c r="P20" s="314">
        <f t="shared" si="12"/>
        <v>2731170.495722726</v>
      </c>
      <c r="Q20" s="314">
        <f t="shared" si="12"/>
        <v>2802180.9286115174</v>
      </c>
      <c r="R20" s="315">
        <f>M20/L20*100</f>
        <v>103.65388413605083</v>
      </c>
      <c r="S20" s="315">
        <f>N20/M20*100</f>
        <v>106.90000000000002</v>
      </c>
      <c r="T20" s="315">
        <f t="shared" si="1"/>
        <v>104.79999999999998</v>
      </c>
      <c r="U20" s="315">
        <f t="shared" si="1"/>
        <v>103.3</v>
      </c>
      <c r="V20" s="315">
        <f t="shared" si="1"/>
        <v>102.60000000000002</v>
      </c>
      <c r="W20" s="306"/>
      <c r="X20" s="306"/>
      <c r="Y20" s="306"/>
      <c r="Z20" s="306"/>
      <c r="AA20" s="306"/>
      <c r="AB20" s="195"/>
    </row>
    <row r="21" spans="1:28" ht="27" x14ac:dyDescent="0.25">
      <c r="A21" s="398" t="s">
        <v>258</v>
      </c>
      <c r="B21" s="399"/>
      <c r="C21" s="399"/>
      <c r="D21" s="399"/>
      <c r="E21" s="399"/>
      <c r="F21" s="399"/>
      <c r="G21" s="399"/>
      <c r="H21" s="399"/>
      <c r="I21" s="399"/>
      <c r="J21" s="399"/>
      <c r="K21" s="399"/>
      <c r="L21" s="399"/>
      <c r="M21" s="399"/>
      <c r="N21" s="399"/>
      <c r="O21" s="399"/>
      <c r="P21" s="399"/>
      <c r="Q21" s="399"/>
      <c r="R21" s="399"/>
      <c r="S21" s="399"/>
      <c r="T21" s="399"/>
      <c r="U21" s="399"/>
      <c r="V21" s="399"/>
      <c r="W21" s="293"/>
      <c r="X21" s="293"/>
      <c r="Y21" s="293"/>
      <c r="Z21" s="293"/>
      <c r="AA21" s="293"/>
    </row>
    <row r="22" spans="1:28" ht="78.75" hidden="1" x14ac:dyDescent="0.4">
      <c r="A22" s="101" t="s">
        <v>173</v>
      </c>
      <c r="B22" s="36" t="s">
        <v>30</v>
      </c>
      <c r="C22" s="136"/>
      <c r="D22" s="136"/>
      <c r="E22" s="136"/>
      <c r="F22" s="136"/>
      <c r="G22" s="136"/>
      <c r="H22" s="136"/>
      <c r="I22" s="136"/>
      <c r="J22" s="44">
        <v>127.61</v>
      </c>
      <c r="K22" s="3"/>
      <c r="L22" s="3"/>
      <c r="M22" s="3"/>
      <c r="N22" s="3"/>
      <c r="O22" s="3"/>
      <c r="P22" s="3"/>
      <c r="Q22" s="3"/>
      <c r="R22" s="21"/>
      <c r="S22" s="21"/>
      <c r="T22" s="21"/>
      <c r="U22" s="21"/>
      <c r="V22" s="21"/>
      <c r="W22" s="293"/>
      <c r="X22" s="293"/>
      <c r="Y22" s="293"/>
      <c r="Z22" s="293"/>
      <c r="AA22" s="293"/>
    </row>
    <row r="23" spans="1:28" ht="52.5" hidden="1" x14ac:dyDescent="0.4">
      <c r="A23" s="7" t="s">
        <v>174</v>
      </c>
      <c r="B23" s="37" t="s">
        <v>30</v>
      </c>
      <c r="C23" s="137"/>
      <c r="D23" s="137"/>
      <c r="E23" s="137"/>
      <c r="F23" s="137"/>
      <c r="G23" s="137"/>
      <c r="H23" s="137"/>
      <c r="I23" s="137"/>
      <c r="J23" s="45">
        <v>156.41</v>
      </c>
      <c r="K23" s="6"/>
      <c r="L23" s="6"/>
      <c r="M23" s="6"/>
      <c r="N23" s="6"/>
      <c r="O23" s="6"/>
      <c r="P23" s="6"/>
      <c r="Q23" s="6"/>
      <c r="R23" s="22"/>
      <c r="S23" s="22"/>
      <c r="T23" s="22"/>
      <c r="U23" s="22"/>
      <c r="V23" s="22"/>
      <c r="W23" s="293"/>
      <c r="X23" s="293"/>
      <c r="Y23" s="293"/>
      <c r="Z23" s="293"/>
      <c r="AA23" s="293"/>
    </row>
    <row r="24" spans="1:28" ht="78.75" hidden="1" x14ac:dyDescent="0.4">
      <c r="A24" s="7" t="s">
        <v>175</v>
      </c>
      <c r="B24" s="37" t="s">
        <v>30</v>
      </c>
      <c r="C24" s="137"/>
      <c r="D24" s="137"/>
      <c r="E24" s="137"/>
      <c r="F24" s="137"/>
      <c r="G24" s="137"/>
      <c r="H24" s="137"/>
      <c r="I24" s="137"/>
      <c r="J24" s="45">
        <v>91.18</v>
      </c>
      <c r="K24" s="6"/>
      <c r="L24" s="6"/>
      <c r="M24" s="6"/>
      <c r="N24" s="6"/>
      <c r="O24" s="6"/>
      <c r="P24" s="6"/>
      <c r="Q24" s="6"/>
      <c r="R24" s="22"/>
      <c r="S24" s="22"/>
      <c r="T24" s="22"/>
      <c r="U24" s="22"/>
      <c r="V24" s="22"/>
      <c r="W24" s="293"/>
      <c r="X24" s="293"/>
      <c r="Y24" s="293"/>
      <c r="Z24" s="293"/>
      <c r="AA24" s="293"/>
    </row>
    <row r="25" spans="1:28" ht="157.5" hidden="1" x14ac:dyDescent="0.4">
      <c r="A25" s="7" t="s">
        <v>176</v>
      </c>
      <c r="B25" s="37" t="s">
        <v>30</v>
      </c>
      <c r="C25" s="137"/>
      <c r="D25" s="137"/>
      <c r="E25" s="137"/>
      <c r="F25" s="137"/>
      <c r="G25" s="137"/>
      <c r="H25" s="137"/>
      <c r="I25" s="137"/>
      <c r="J25" s="45">
        <v>85.36</v>
      </c>
      <c r="K25" s="6"/>
      <c r="L25" s="6"/>
      <c r="M25" s="6"/>
      <c r="N25" s="6"/>
      <c r="O25" s="6"/>
      <c r="P25" s="6"/>
      <c r="Q25" s="6"/>
      <c r="R25" s="22"/>
      <c r="S25" s="22"/>
      <c r="T25" s="22"/>
      <c r="U25" s="22"/>
      <c r="V25" s="22"/>
      <c r="W25" s="293"/>
      <c r="X25" s="293"/>
      <c r="Y25" s="293"/>
      <c r="Z25" s="293"/>
      <c r="AA25" s="293"/>
    </row>
    <row r="26" spans="1:28" ht="52.5" hidden="1" x14ac:dyDescent="0.4">
      <c r="A26" s="7" t="s">
        <v>177</v>
      </c>
      <c r="B26" s="37" t="s">
        <v>30</v>
      </c>
      <c r="C26" s="137"/>
      <c r="D26" s="137"/>
      <c r="E26" s="137"/>
      <c r="F26" s="137"/>
      <c r="G26" s="137"/>
      <c r="H26" s="137"/>
      <c r="I26" s="137"/>
      <c r="J26" s="45">
        <v>114.67</v>
      </c>
      <c r="K26" s="6"/>
      <c r="L26" s="6"/>
      <c r="M26" s="6"/>
      <c r="N26" s="6"/>
      <c r="O26" s="6"/>
      <c r="P26" s="6"/>
      <c r="Q26" s="6"/>
      <c r="R26" s="22"/>
      <c r="S26" s="22"/>
      <c r="T26" s="22"/>
      <c r="U26" s="22"/>
      <c r="V26" s="22"/>
      <c r="W26" s="293"/>
      <c r="X26" s="293"/>
      <c r="Y26" s="293"/>
      <c r="Z26" s="293"/>
      <c r="AA26" s="293"/>
    </row>
    <row r="27" spans="1:28" ht="78.75" hidden="1" x14ac:dyDescent="0.4">
      <c r="A27" s="7" t="s">
        <v>178</v>
      </c>
      <c r="B27" s="37" t="s">
        <v>30</v>
      </c>
      <c r="C27" s="137"/>
      <c r="D27" s="137"/>
      <c r="E27" s="137"/>
      <c r="F27" s="137"/>
      <c r="G27" s="137"/>
      <c r="H27" s="137"/>
      <c r="I27" s="137"/>
      <c r="J27" s="45">
        <v>91.18</v>
      </c>
      <c r="K27" s="6"/>
      <c r="L27" s="6"/>
      <c r="M27" s="6"/>
      <c r="N27" s="6"/>
      <c r="O27" s="6"/>
      <c r="P27" s="6"/>
      <c r="Q27" s="6"/>
      <c r="R27" s="22"/>
      <c r="S27" s="22"/>
      <c r="T27" s="22"/>
      <c r="U27" s="22"/>
      <c r="V27" s="22"/>
      <c r="W27" s="293"/>
      <c r="X27" s="293"/>
      <c r="Y27" s="293"/>
      <c r="Z27" s="293"/>
      <c r="AA27" s="293"/>
    </row>
    <row r="28" spans="1:28" ht="52.5" hidden="1" x14ac:dyDescent="0.4">
      <c r="A28" s="7" t="s">
        <v>179</v>
      </c>
      <c r="B28" s="37" t="s">
        <v>30</v>
      </c>
      <c r="C28" s="137"/>
      <c r="D28" s="137"/>
      <c r="E28" s="137"/>
      <c r="F28" s="137"/>
      <c r="G28" s="137"/>
      <c r="H28" s="137"/>
      <c r="I28" s="137"/>
      <c r="J28" s="45">
        <v>126.54</v>
      </c>
      <c r="K28" s="6"/>
      <c r="L28" s="6"/>
      <c r="M28" s="6"/>
      <c r="N28" s="6"/>
      <c r="O28" s="6"/>
      <c r="P28" s="6"/>
      <c r="Q28" s="6"/>
      <c r="R28" s="22"/>
      <c r="S28" s="22"/>
      <c r="T28" s="22"/>
      <c r="U28" s="22"/>
      <c r="V28" s="22"/>
      <c r="W28" s="293"/>
      <c r="X28" s="293"/>
      <c r="Y28" s="293"/>
      <c r="Z28" s="293"/>
      <c r="AA28" s="293"/>
    </row>
    <row r="29" spans="1:28" ht="26.25" hidden="1" x14ac:dyDescent="0.4">
      <c r="A29" s="7" t="s">
        <v>180</v>
      </c>
      <c r="B29" s="37" t="s">
        <v>30</v>
      </c>
      <c r="C29" s="137"/>
      <c r="D29" s="137"/>
      <c r="E29" s="137"/>
      <c r="F29" s="137"/>
      <c r="G29" s="137"/>
      <c r="H29" s="137"/>
      <c r="I29" s="137"/>
      <c r="J29" s="45">
        <v>23.56</v>
      </c>
      <c r="K29" s="6"/>
      <c r="L29" s="6"/>
      <c r="M29" s="6"/>
      <c r="N29" s="6"/>
      <c r="O29" s="6"/>
      <c r="P29" s="6"/>
      <c r="Q29" s="6"/>
      <c r="R29" s="22"/>
      <c r="S29" s="22"/>
      <c r="T29" s="22"/>
      <c r="U29" s="22"/>
      <c r="V29" s="22"/>
      <c r="W29" s="293"/>
      <c r="X29" s="293"/>
      <c r="Y29" s="293"/>
      <c r="Z29" s="293"/>
      <c r="AA29" s="293"/>
    </row>
    <row r="30" spans="1:28" ht="52.5" hidden="1" x14ac:dyDescent="0.4">
      <c r="A30" s="7" t="s">
        <v>181</v>
      </c>
      <c r="B30" s="37" t="s">
        <v>30</v>
      </c>
      <c r="C30" s="137"/>
      <c r="D30" s="137"/>
      <c r="E30" s="137"/>
      <c r="F30" s="137"/>
      <c r="G30" s="137"/>
      <c r="H30" s="137"/>
      <c r="I30" s="137"/>
      <c r="J30" s="45">
        <v>75.790000000000006</v>
      </c>
      <c r="K30" s="6"/>
      <c r="L30" s="6"/>
      <c r="M30" s="6"/>
      <c r="N30" s="6"/>
      <c r="O30" s="6"/>
      <c r="P30" s="6"/>
      <c r="Q30" s="6"/>
      <c r="R30" s="22"/>
      <c r="S30" s="22"/>
      <c r="T30" s="22"/>
      <c r="U30" s="22"/>
      <c r="V30" s="22"/>
      <c r="W30" s="293"/>
      <c r="X30" s="293"/>
      <c r="Y30" s="293"/>
      <c r="Z30" s="293"/>
      <c r="AA30" s="293"/>
    </row>
    <row r="31" spans="1:28" ht="52.5" hidden="1" x14ac:dyDescent="0.4">
      <c r="A31" s="7" t="s">
        <v>182</v>
      </c>
      <c r="B31" s="37" t="s">
        <v>30</v>
      </c>
      <c r="C31" s="137"/>
      <c r="D31" s="137"/>
      <c r="E31" s="137"/>
      <c r="F31" s="137"/>
      <c r="G31" s="137"/>
      <c r="H31" s="137"/>
      <c r="I31" s="137"/>
      <c r="J31" s="45">
        <v>74.56</v>
      </c>
      <c r="K31" s="6"/>
      <c r="L31" s="6"/>
      <c r="M31" s="6"/>
      <c r="N31" s="6"/>
      <c r="O31" s="6"/>
      <c r="P31" s="6"/>
      <c r="Q31" s="6"/>
      <c r="R31" s="22"/>
      <c r="S31" s="22"/>
      <c r="T31" s="22"/>
      <c r="U31" s="22"/>
      <c r="V31" s="22"/>
      <c r="W31" s="293"/>
      <c r="X31" s="293"/>
      <c r="Y31" s="293"/>
      <c r="Z31" s="293"/>
      <c r="AA31" s="293"/>
    </row>
    <row r="32" spans="1:28" ht="22.5" hidden="1" customHeight="1" x14ac:dyDescent="0.4">
      <c r="A32" s="7" t="s">
        <v>183</v>
      </c>
      <c r="B32" s="5" t="s">
        <v>30</v>
      </c>
      <c r="C32" s="137"/>
      <c r="D32" s="137"/>
      <c r="E32" s="137"/>
      <c r="F32" s="137"/>
      <c r="G32" s="137"/>
      <c r="H32" s="137"/>
      <c r="I32" s="137"/>
      <c r="J32" s="45">
        <v>46.58</v>
      </c>
      <c r="K32" s="6"/>
      <c r="L32" s="6"/>
      <c r="M32" s="6"/>
      <c r="N32" s="6"/>
      <c r="O32" s="6"/>
      <c r="P32" s="6"/>
      <c r="Q32" s="6"/>
      <c r="R32" s="22"/>
      <c r="S32" s="22"/>
      <c r="T32" s="22"/>
      <c r="U32" s="22"/>
      <c r="V32" s="22"/>
      <c r="W32" s="293"/>
      <c r="X32" s="293"/>
      <c r="Y32" s="293"/>
      <c r="Z32" s="293"/>
      <c r="AA32" s="293"/>
    </row>
    <row r="33" spans="1:27" ht="52.5" hidden="1" x14ac:dyDescent="0.4">
      <c r="A33" s="7" t="s">
        <v>184</v>
      </c>
      <c r="B33" s="8" t="s">
        <v>30</v>
      </c>
      <c r="C33" s="137"/>
      <c r="D33" s="137"/>
      <c r="E33" s="137"/>
      <c r="F33" s="137"/>
      <c r="G33" s="137"/>
      <c r="H33" s="137"/>
      <c r="I33" s="137"/>
      <c r="J33" s="45">
        <v>196.3</v>
      </c>
      <c r="K33" s="6"/>
      <c r="L33" s="6"/>
      <c r="M33" s="6"/>
      <c r="N33" s="6"/>
      <c r="O33" s="6"/>
      <c r="P33" s="6"/>
      <c r="Q33" s="6"/>
      <c r="R33" s="22"/>
      <c r="S33" s="22"/>
      <c r="T33" s="22"/>
      <c r="U33" s="22"/>
      <c r="V33" s="22"/>
      <c r="W33" s="293"/>
      <c r="X33" s="293"/>
      <c r="Y33" s="293"/>
      <c r="Z33" s="293"/>
      <c r="AA33" s="293"/>
    </row>
    <row r="34" spans="1:27" ht="25.5" hidden="1" customHeight="1" x14ac:dyDescent="0.4">
      <c r="A34" s="7" t="s">
        <v>185</v>
      </c>
      <c r="B34" s="8" t="s">
        <v>30</v>
      </c>
      <c r="C34" s="137"/>
      <c r="D34" s="137"/>
      <c r="E34" s="137"/>
      <c r="F34" s="137"/>
      <c r="G34" s="137"/>
      <c r="H34" s="137"/>
      <c r="I34" s="137"/>
      <c r="J34" s="45">
        <v>268</v>
      </c>
      <c r="K34" s="6"/>
      <c r="L34" s="6"/>
      <c r="M34" s="6"/>
      <c r="N34" s="6"/>
      <c r="O34" s="6"/>
      <c r="P34" s="6"/>
      <c r="Q34" s="6"/>
      <c r="R34" s="22"/>
      <c r="S34" s="22"/>
      <c r="T34" s="22"/>
      <c r="U34" s="22"/>
      <c r="V34" s="22"/>
      <c r="W34" s="293"/>
      <c r="X34" s="293"/>
      <c r="Y34" s="293"/>
      <c r="Z34" s="293"/>
      <c r="AA34" s="293"/>
    </row>
    <row r="35" spans="1:27" ht="28.5" hidden="1" customHeight="1" x14ac:dyDescent="0.4">
      <c r="A35" s="7" t="s">
        <v>186</v>
      </c>
      <c r="B35" s="8" t="s">
        <v>30</v>
      </c>
      <c r="C35" s="137"/>
      <c r="D35" s="137"/>
      <c r="E35" s="137"/>
      <c r="F35" s="137"/>
      <c r="G35" s="137"/>
      <c r="H35" s="137"/>
      <c r="I35" s="137"/>
      <c r="J35" s="45">
        <v>220.7</v>
      </c>
      <c r="K35" s="6"/>
      <c r="L35" s="6"/>
      <c r="M35" s="6"/>
      <c r="N35" s="6"/>
      <c r="O35" s="6"/>
      <c r="P35" s="6"/>
      <c r="Q35" s="6"/>
      <c r="R35" s="22"/>
      <c r="S35" s="22"/>
      <c r="T35" s="22"/>
      <c r="U35" s="22"/>
      <c r="V35" s="22"/>
      <c r="W35" s="293"/>
      <c r="X35" s="293"/>
      <c r="Y35" s="293"/>
      <c r="Z35" s="293"/>
      <c r="AA35" s="293"/>
    </row>
    <row r="36" spans="1:27" ht="52.5" hidden="1" x14ac:dyDescent="0.4">
      <c r="A36" s="7" t="s">
        <v>187</v>
      </c>
      <c r="B36" s="37" t="s">
        <v>30</v>
      </c>
      <c r="C36" s="137"/>
      <c r="D36" s="137"/>
      <c r="E36" s="137"/>
      <c r="F36" s="137"/>
      <c r="G36" s="137"/>
      <c r="H36" s="137"/>
      <c r="I36" s="137"/>
      <c r="J36" s="45">
        <v>155.75</v>
      </c>
      <c r="K36" s="6"/>
      <c r="L36" s="6"/>
      <c r="M36" s="6"/>
      <c r="N36" s="6"/>
      <c r="O36" s="6"/>
      <c r="P36" s="6"/>
      <c r="Q36" s="6"/>
      <c r="R36" s="22"/>
      <c r="S36" s="22"/>
      <c r="T36" s="22"/>
      <c r="U36" s="22"/>
      <c r="V36" s="22"/>
      <c r="W36" s="293"/>
      <c r="X36" s="293"/>
      <c r="Y36" s="293"/>
      <c r="Z36" s="293"/>
      <c r="AA36" s="293"/>
    </row>
    <row r="37" spans="1:27" ht="26.25" hidden="1" x14ac:dyDescent="0.4">
      <c r="A37" s="7" t="s">
        <v>188</v>
      </c>
      <c r="B37" s="37" t="s">
        <v>30</v>
      </c>
      <c r="C37" s="137"/>
      <c r="D37" s="137"/>
      <c r="E37" s="137"/>
      <c r="F37" s="137"/>
      <c r="G37" s="137"/>
      <c r="H37" s="137"/>
      <c r="I37" s="137"/>
      <c r="J37" s="45">
        <v>53.63</v>
      </c>
      <c r="K37" s="6"/>
      <c r="L37" s="6"/>
      <c r="M37" s="6"/>
      <c r="N37" s="6"/>
      <c r="O37" s="6"/>
      <c r="P37" s="6"/>
      <c r="Q37" s="6"/>
      <c r="R37" s="22"/>
      <c r="S37" s="22"/>
      <c r="T37" s="22"/>
      <c r="U37" s="22"/>
      <c r="V37" s="22"/>
      <c r="W37" s="293"/>
      <c r="X37" s="293"/>
      <c r="Y37" s="293"/>
      <c r="Z37" s="293"/>
      <c r="AA37" s="293"/>
    </row>
    <row r="38" spans="1:27" ht="26.25" hidden="1" x14ac:dyDescent="0.4">
      <c r="A38" s="7" t="s">
        <v>189</v>
      </c>
      <c r="B38" s="37" t="s">
        <v>30</v>
      </c>
      <c r="C38" s="137"/>
      <c r="D38" s="137"/>
      <c r="E38" s="137"/>
      <c r="F38" s="137"/>
      <c r="G38" s="137"/>
      <c r="H38" s="137"/>
      <c r="I38" s="137"/>
      <c r="J38" s="45">
        <v>180.15</v>
      </c>
      <c r="K38" s="6"/>
      <c r="L38" s="6"/>
      <c r="M38" s="6"/>
      <c r="N38" s="6"/>
      <c r="O38" s="6"/>
      <c r="P38" s="6"/>
      <c r="Q38" s="6"/>
      <c r="R38" s="22"/>
      <c r="S38" s="22"/>
      <c r="T38" s="22"/>
      <c r="U38" s="22"/>
      <c r="V38" s="22"/>
      <c r="W38" s="293"/>
      <c r="X38" s="293"/>
      <c r="Y38" s="293"/>
      <c r="Z38" s="293"/>
      <c r="AA38" s="293"/>
    </row>
    <row r="39" spans="1:27" ht="52.5" hidden="1" x14ac:dyDescent="0.4">
      <c r="A39" s="7" t="s">
        <v>190</v>
      </c>
      <c r="B39" s="37" t="s">
        <v>30</v>
      </c>
      <c r="C39" s="137"/>
      <c r="D39" s="137"/>
      <c r="E39" s="137"/>
      <c r="F39" s="137"/>
      <c r="G39" s="137"/>
      <c r="H39" s="137"/>
      <c r="I39" s="137"/>
      <c r="J39" s="45">
        <v>164.23</v>
      </c>
      <c r="K39" s="6"/>
      <c r="L39" s="6"/>
      <c r="M39" s="6"/>
      <c r="N39" s="6"/>
      <c r="O39" s="6"/>
      <c r="P39" s="6"/>
      <c r="Q39" s="6"/>
      <c r="R39" s="22"/>
      <c r="S39" s="22"/>
      <c r="T39" s="22"/>
      <c r="U39" s="22"/>
      <c r="V39" s="22"/>
      <c r="W39" s="293"/>
      <c r="X39" s="293"/>
      <c r="Y39" s="293"/>
      <c r="Z39" s="293"/>
      <c r="AA39" s="293"/>
    </row>
    <row r="40" spans="1:27" ht="52.5" hidden="1" x14ac:dyDescent="0.4">
      <c r="A40" s="7" t="s">
        <v>191</v>
      </c>
      <c r="B40" s="37" t="s">
        <v>30</v>
      </c>
      <c r="C40" s="137"/>
      <c r="D40" s="137"/>
      <c r="E40" s="137"/>
      <c r="F40" s="137"/>
      <c r="G40" s="137"/>
      <c r="H40" s="137"/>
      <c r="I40" s="137"/>
      <c r="J40" s="45">
        <v>104.62</v>
      </c>
      <c r="K40" s="6"/>
      <c r="L40" s="6"/>
      <c r="M40" s="6"/>
      <c r="N40" s="6"/>
      <c r="O40" s="6"/>
      <c r="P40" s="6"/>
      <c r="Q40" s="6"/>
      <c r="R40" s="22"/>
      <c r="S40" s="22"/>
      <c r="T40" s="22"/>
      <c r="U40" s="22"/>
      <c r="V40" s="22"/>
      <c r="W40" s="293"/>
      <c r="X40" s="293"/>
      <c r="Y40" s="293"/>
      <c r="Z40" s="293"/>
      <c r="AA40" s="293"/>
    </row>
    <row r="41" spans="1:27" ht="78.75" hidden="1" x14ac:dyDescent="0.4">
      <c r="A41" s="7" t="s">
        <v>192</v>
      </c>
      <c r="B41" s="37" t="s">
        <v>30</v>
      </c>
      <c r="C41" s="137"/>
      <c r="D41" s="137"/>
      <c r="E41" s="137"/>
      <c r="F41" s="137"/>
      <c r="G41" s="137"/>
      <c r="H41" s="137"/>
      <c r="I41" s="137"/>
      <c r="J41" s="45">
        <v>106.36</v>
      </c>
      <c r="K41" s="6"/>
      <c r="L41" s="6"/>
      <c r="M41" s="6"/>
      <c r="N41" s="6"/>
      <c r="O41" s="6"/>
      <c r="P41" s="6"/>
      <c r="Q41" s="6"/>
      <c r="R41" s="22"/>
      <c r="S41" s="22"/>
      <c r="T41" s="22"/>
      <c r="U41" s="22"/>
      <c r="V41" s="22"/>
      <c r="W41" s="293"/>
      <c r="X41" s="293"/>
      <c r="Y41" s="293"/>
      <c r="Z41" s="293"/>
      <c r="AA41" s="293"/>
    </row>
    <row r="42" spans="1:27" ht="78.75" hidden="1" x14ac:dyDescent="0.4">
      <c r="A42" s="7" t="s">
        <v>193</v>
      </c>
      <c r="B42" s="37" t="s">
        <v>30</v>
      </c>
      <c r="C42" s="137"/>
      <c r="D42" s="137"/>
      <c r="E42" s="137"/>
      <c r="F42" s="137"/>
      <c r="G42" s="137"/>
      <c r="H42" s="137"/>
      <c r="I42" s="137"/>
      <c r="J42" s="45">
        <v>2.67</v>
      </c>
      <c r="K42" s="6"/>
      <c r="L42" s="6"/>
      <c r="M42" s="6"/>
      <c r="N42" s="6"/>
      <c r="O42" s="6"/>
      <c r="P42" s="6"/>
      <c r="Q42" s="6"/>
      <c r="R42" s="22"/>
      <c r="S42" s="22"/>
      <c r="T42" s="22"/>
      <c r="U42" s="22"/>
      <c r="V42" s="22"/>
      <c r="W42" s="293"/>
      <c r="X42" s="293"/>
      <c r="Y42" s="293"/>
      <c r="Z42" s="293"/>
      <c r="AA42" s="293"/>
    </row>
    <row r="43" spans="1:27" ht="26.25" hidden="1" x14ac:dyDescent="0.4">
      <c r="A43" s="7" t="s">
        <v>194</v>
      </c>
      <c r="B43" s="37" t="s">
        <v>30</v>
      </c>
      <c r="C43" s="137"/>
      <c r="D43" s="137"/>
      <c r="E43" s="137"/>
      <c r="F43" s="137"/>
      <c r="G43" s="137"/>
      <c r="H43" s="137"/>
      <c r="I43" s="137"/>
      <c r="J43" s="45">
        <v>148.66999999999999</v>
      </c>
      <c r="K43" s="6"/>
      <c r="L43" s="6"/>
      <c r="M43" s="6"/>
      <c r="N43" s="6"/>
      <c r="O43" s="6"/>
      <c r="P43" s="6"/>
      <c r="Q43" s="6"/>
      <c r="R43" s="22"/>
      <c r="S43" s="22"/>
      <c r="T43" s="22"/>
      <c r="U43" s="22"/>
      <c r="V43" s="22"/>
      <c r="W43" s="293"/>
      <c r="X43" s="293"/>
      <c r="Y43" s="293"/>
      <c r="Z43" s="293"/>
      <c r="AA43" s="293"/>
    </row>
    <row r="44" spans="1:27" ht="26.25" hidden="1" x14ac:dyDescent="0.4">
      <c r="A44" s="7" t="s">
        <v>195</v>
      </c>
      <c r="B44" s="37" t="s">
        <v>30</v>
      </c>
      <c r="C44" s="137"/>
      <c r="D44" s="137"/>
      <c r="E44" s="137"/>
      <c r="F44" s="137"/>
      <c r="G44" s="137"/>
      <c r="H44" s="137"/>
      <c r="I44" s="137"/>
      <c r="J44" s="45">
        <v>155.18</v>
      </c>
      <c r="K44" s="6"/>
      <c r="L44" s="6"/>
      <c r="M44" s="6"/>
      <c r="N44" s="6"/>
      <c r="O44" s="6"/>
      <c r="P44" s="6"/>
      <c r="Q44" s="6"/>
      <c r="R44" s="22"/>
      <c r="S44" s="22"/>
      <c r="T44" s="22"/>
      <c r="U44" s="22"/>
      <c r="V44" s="22"/>
      <c r="W44" s="293"/>
      <c r="X44" s="293"/>
      <c r="Y44" s="293"/>
      <c r="Z44" s="293"/>
      <c r="AA44" s="293"/>
    </row>
    <row r="45" spans="1:27" ht="52.5" hidden="1" x14ac:dyDescent="0.4">
      <c r="A45" s="7" t="s">
        <v>196</v>
      </c>
      <c r="B45" s="37" t="s">
        <v>30</v>
      </c>
      <c r="C45" s="137"/>
      <c r="D45" s="137"/>
      <c r="E45" s="137"/>
      <c r="F45" s="137"/>
      <c r="G45" s="137"/>
      <c r="H45" s="137"/>
      <c r="I45" s="137"/>
      <c r="J45" s="45">
        <v>187.9</v>
      </c>
      <c r="K45" s="6"/>
      <c r="L45" s="6"/>
      <c r="M45" s="6"/>
      <c r="N45" s="6"/>
      <c r="O45" s="6"/>
      <c r="P45" s="6"/>
      <c r="Q45" s="6"/>
      <c r="R45" s="22"/>
      <c r="S45" s="22"/>
      <c r="T45" s="22"/>
      <c r="U45" s="22"/>
      <c r="V45" s="22"/>
      <c r="W45" s="293"/>
      <c r="X45" s="293"/>
      <c r="Y45" s="293"/>
      <c r="Z45" s="293"/>
      <c r="AA45" s="293"/>
    </row>
    <row r="46" spans="1:27" ht="26.25" hidden="1" x14ac:dyDescent="0.4">
      <c r="A46" s="7" t="s">
        <v>197</v>
      </c>
      <c r="B46" s="37" t="s">
        <v>30</v>
      </c>
      <c r="C46" s="137"/>
      <c r="D46" s="137"/>
      <c r="E46" s="137"/>
      <c r="F46" s="137"/>
      <c r="G46" s="137"/>
      <c r="H46" s="137"/>
      <c r="I46" s="137"/>
      <c r="J46" s="45">
        <v>64.45</v>
      </c>
      <c r="K46" s="6"/>
      <c r="L46" s="6"/>
      <c r="M46" s="6"/>
      <c r="N46" s="6"/>
      <c r="O46" s="6"/>
      <c r="P46" s="6"/>
      <c r="Q46" s="6"/>
      <c r="R46" s="22"/>
      <c r="S46" s="22"/>
      <c r="T46" s="22"/>
      <c r="U46" s="22"/>
      <c r="V46" s="22"/>
      <c r="W46" s="293"/>
      <c r="X46" s="293"/>
      <c r="Y46" s="293"/>
      <c r="Z46" s="293"/>
      <c r="AA46" s="293"/>
    </row>
    <row r="47" spans="1:27" ht="105" hidden="1" x14ac:dyDescent="0.4">
      <c r="A47" s="7" t="s">
        <v>198</v>
      </c>
      <c r="B47" s="37" t="s">
        <v>253</v>
      </c>
      <c r="C47" s="137"/>
      <c r="D47" s="137"/>
      <c r="E47" s="137"/>
      <c r="F47" s="137"/>
      <c r="G47" s="137"/>
      <c r="H47" s="137"/>
      <c r="I47" s="137"/>
      <c r="J47" s="45">
        <v>15.85</v>
      </c>
      <c r="K47" s="6"/>
      <c r="L47" s="6"/>
      <c r="M47" s="6"/>
      <c r="N47" s="6"/>
      <c r="O47" s="6"/>
      <c r="P47" s="6"/>
      <c r="Q47" s="6"/>
      <c r="R47" s="22"/>
      <c r="S47" s="22"/>
      <c r="T47" s="22"/>
      <c r="U47" s="22"/>
      <c r="V47" s="22"/>
      <c r="W47" s="293"/>
      <c r="X47" s="293"/>
      <c r="Y47" s="293"/>
      <c r="Z47" s="293"/>
      <c r="AA47" s="293"/>
    </row>
    <row r="48" spans="1:27" ht="105" hidden="1" x14ac:dyDescent="0.4">
      <c r="A48" s="7" t="s">
        <v>199</v>
      </c>
      <c r="B48" s="37" t="s">
        <v>253</v>
      </c>
      <c r="C48" s="137"/>
      <c r="D48" s="137"/>
      <c r="E48" s="137"/>
      <c r="F48" s="137"/>
      <c r="G48" s="137"/>
      <c r="H48" s="137"/>
      <c r="I48" s="137"/>
      <c r="J48" s="45">
        <v>12.45</v>
      </c>
      <c r="K48" s="6"/>
      <c r="L48" s="6"/>
      <c r="M48" s="6"/>
      <c r="N48" s="6"/>
      <c r="O48" s="6"/>
      <c r="P48" s="6"/>
      <c r="Q48" s="6"/>
      <c r="R48" s="22"/>
      <c r="S48" s="22"/>
      <c r="T48" s="22"/>
      <c r="U48" s="22"/>
      <c r="V48" s="22"/>
      <c r="W48" s="293"/>
      <c r="X48" s="293"/>
      <c r="Y48" s="293"/>
      <c r="Z48" s="293"/>
      <c r="AA48" s="293"/>
    </row>
    <row r="49" spans="1:27" ht="26.25" hidden="1" x14ac:dyDescent="0.4">
      <c r="A49" s="7" t="s">
        <v>200</v>
      </c>
      <c r="B49" s="37" t="s">
        <v>30</v>
      </c>
      <c r="C49" s="137"/>
      <c r="D49" s="137"/>
      <c r="E49" s="137"/>
      <c r="F49" s="137"/>
      <c r="G49" s="137"/>
      <c r="H49" s="137"/>
      <c r="I49" s="137"/>
      <c r="J49" s="45">
        <v>42.7</v>
      </c>
      <c r="K49" s="6"/>
      <c r="L49" s="6"/>
      <c r="M49" s="6"/>
      <c r="N49" s="6"/>
      <c r="O49" s="6"/>
      <c r="P49" s="6"/>
      <c r="Q49" s="6"/>
      <c r="R49" s="22"/>
      <c r="S49" s="22"/>
      <c r="T49" s="22"/>
      <c r="U49" s="22"/>
      <c r="V49" s="22"/>
      <c r="W49" s="293"/>
      <c r="X49" s="293"/>
      <c r="Y49" s="293"/>
      <c r="Z49" s="293"/>
      <c r="AA49" s="293"/>
    </row>
    <row r="50" spans="1:27" ht="52.5" hidden="1" x14ac:dyDescent="0.4">
      <c r="A50" s="7" t="s">
        <v>201</v>
      </c>
      <c r="B50" s="37" t="s">
        <v>30</v>
      </c>
      <c r="C50" s="137"/>
      <c r="D50" s="137"/>
      <c r="E50" s="137"/>
      <c r="F50" s="137"/>
      <c r="G50" s="137"/>
      <c r="H50" s="137"/>
      <c r="I50" s="137"/>
      <c r="J50" s="45">
        <v>42.7</v>
      </c>
      <c r="K50" s="6"/>
      <c r="L50" s="6"/>
      <c r="M50" s="6"/>
      <c r="N50" s="6"/>
      <c r="O50" s="6"/>
      <c r="P50" s="6"/>
      <c r="Q50" s="6"/>
      <c r="R50" s="22"/>
      <c r="S50" s="22"/>
      <c r="T50" s="22"/>
      <c r="U50" s="22"/>
      <c r="V50" s="22"/>
      <c r="W50" s="293"/>
      <c r="X50" s="293"/>
      <c r="Y50" s="293"/>
      <c r="Z50" s="293"/>
      <c r="AA50" s="293"/>
    </row>
    <row r="51" spans="1:27" ht="26.25" hidden="1" x14ac:dyDescent="0.4">
      <c r="A51" s="7" t="s">
        <v>202</v>
      </c>
      <c r="B51" s="37" t="s">
        <v>30</v>
      </c>
      <c r="C51" s="137"/>
      <c r="D51" s="137"/>
      <c r="E51" s="137"/>
      <c r="F51" s="137"/>
      <c r="G51" s="137"/>
      <c r="H51" s="137"/>
      <c r="I51" s="137"/>
      <c r="J51" s="45">
        <v>42.7</v>
      </c>
      <c r="K51" s="6"/>
      <c r="L51" s="6"/>
      <c r="M51" s="6"/>
      <c r="N51" s="6"/>
      <c r="O51" s="6"/>
      <c r="P51" s="6"/>
      <c r="Q51" s="6"/>
      <c r="R51" s="22"/>
      <c r="S51" s="22"/>
      <c r="T51" s="22"/>
      <c r="U51" s="22"/>
      <c r="V51" s="22"/>
      <c r="W51" s="293"/>
      <c r="X51" s="293"/>
      <c r="Y51" s="293"/>
      <c r="Z51" s="293"/>
      <c r="AA51" s="293"/>
    </row>
    <row r="52" spans="1:27" ht="52.5" hidden="1" x14ac:dyDescent="0.4">
      <c r="A52" s="7" t="s">
        <v>203</v>
      </c>
      <c r="B52" s="37" t="s">
        <v>30</v>
      </c>
      <c r="C52" s="137"/>
      <c r="D52" s="137"/>
      <c r="E52" s="137"/>
      <c r="F52" s="137"/>
      <c r="G52" s="137"/>
      <c r="H52" s="137"/>
      <c r="I52" s="137"/>
      <c r="J52" s="45">
        <v>14.39</v>
      </c>
      <c r="K52" s="6"/>
      <c r="L52" s="6"/>
      <c r="M52" s="6"/>
      <c r="N52" s="6"/>
      <c r="O52" s="6"/>
      <c r="P52" s="6"/>
      <c r="Q52" s="6"/>
      <c r="R52" s="22"/>
      <c r="S52" s="22"/>
      <c r="T52" s="22"/>
      <c r="U52" s="22"/>
      <c r="V52" s="22"/>
      <c r="W52" s="293"/>
      <c r="X52" s="293"/>
      <c r="Y52" s="293"/>
      <c r="Z52" s="293"/>
      <c r="AA52" s="293"/>
    </row>
    <row r="53" spans="1:27" ht="52.5" hidden="1" x14ac:dyDescent="0.4">
      <c r="A53" s="7" t="s">
        <v>204</v>
      </c>
      <c r="B53" s="37" t="s">
        <v>30</v>
      </c>
      <c r="C53" s="137"/>
      <c r="D53" s="137"/>
      <c r="E53" s="137"/>
      <c r="F53" s="137"/>
      <c r="G53" s="137"/>
      <c r="H53" s="137"/>
      <c r="I53" s="137"/>
      <c r="J53" s="45">
        <v>44.2</v>
      </c>
      <c r="K53" s="6"/>
      <c r="L53" s="6"/>
      <c r="M53" s="6"/>
      <c r="N53" s="6"/>
      <c r="O53" s="6"/>
      <c r="P53" s="6"/>
      <c r="Q53" s="6"/>
      <c r="R53" s="22"/>
      <c r="S53" s="22"/>
      <c r="T53" s="22"/>
      <c r="U53" s="22"/>
      <c r="V53" s="22"/>
      <c r="W53" s="293"/>
      <c r="X53" s="293"/>
      <c r="Y53" s="293"/>
      <c r="Z53" s="293"/>
      <c r="AA53" s="293"/>
    </row>
    <row r="54" spans="1:27" ht="54" hidden="1" customHeight="1" x14ac:dyDescent="0.4">
      <c r="A54" s="7" t="s">
        <v>205</v>
      </c>
      <c r="B54" s="37" t="s">
        <v>30</v>
      </c>
      <c r="C54" s="137"/>
      <c r="D54" s="137"/>
      <c r="E54" s="137"/>
      <c r="F54" s="137"/>
      <c r="G54" s="137"/>
      <c r="H54" s="137"/>
      <c r="I54" s="137"/>
      <c r="J54" s="45">
        <v>43.3</v>
      </c>
      <c r="K54" s="6"/>
      <c r="L54" s="6"/>
      <c r="M54" s="6"/>
      <c r="N54" s="6"/>
      <c r="O54" s="6"/>
      <c r="P54" s="6"/>
      <c r="Q54" s="6"/>
      <c r="R54" s="22"/>
      <c r="S54" s="22"/>
      <c r="T54" s="22"/>
      <c r="U54" s="22"/>
      <c r="V54" s="22"/>
      <c r="W54" s="293"/>
      <c r="X54" s="293"/>
      <c r="Y54" s="293"/>
      <c r="Z54" s="293"/>
      <c r="AA54" s="293"/>
    </row>
    <row r="55" spans="1:27" ht="81" hidden="1" customHeight="1" x14ac:dyDescent="0.4">
      <c r="A55" s="7" t="s">
        <v>206</v>
      </c>
      <c r="B55" s="8" t="s">
        <v>30</v>
      </c>
      <c r="C55" s="137"/>
      <c r="D55" s="137"/>
      <c r="E55" s="137"/>
      <c r="F55" s="137"/>
      <c r="G55" s="137"/>
      <c r="H55" s="137"/>
      <c r="I55" s="137"/>
      <c r="J55" s="45">
        <v>38.64</v>
      </c>
      <c r="K55" s="6"/>
      <c r="L55" s="6"/>
      <c r="M55" s="6"/>
      <c r="N55" s="6"/>
      <c r="O55" s="6"/>
      <c r="P55" s="6"/>
      <c r="Q55" s="6"/>
      <c r="R55" s="22"/>
      <c r="S55" s="22"/>
      <c r="T55" s="22"/>
      <c r="U55" s="22"/>
      <c r="V55" s="22"/>
      <c r="W55" s="293"/>
      <c r="X55" s="293"/>
      <c r="Y55" s="293"/>
      <c r="Z55" s="293"/>
      <c r="AA55" s="293"/>
    </row>
    <row r="56" spans="1:27" ht="26.25" hidden="1" x14ac:dyDescent="0.4">
      <c r="A56" s="7" t="s">
        <v>207</v>
      </c>
      <c r="B56" s="8" t="s">
        <v>30</v>
      </c>
      <c r="C56" s="137"/>
      <c r="D56" s="137"/>
      <c r="E56" s="137"/>
      <c r="F56" s="137"/>
      <c r="G56" s="137"/>
      <c r="H56" s="137"/>
      <c r="I56" s="137"/>
      <c r="J56" s="45">
        <v>35.06</v>
      </c>
      <c r="K56" s="6"/>
      <c r="L56" s="6"/>
      <c r="M56" s="6"/>
      <c r="N56" s="6"/>
      <c r="O56" s="6"/>
      <c r="P56" s="6"/>
      <c r="Q56" s="6"/>
      <c r="R56" s="22"/>
      <c r="S56" s="22"/>
      <c r="T56" s="22"/>
      <c r="U56" s="22"/>
      <c r="V56" s="22"/>
      <c r="W56" s="293"/>
      <c r="X56" s="293"/>
      <c r="Y56" s="293"/>
      <c r="Z56" s="293"/>
      <c r="AA56" s="293"/>
    </row>
    <row r="57" spans="1:27" ht="52.5" hidden="1" x14ac:dyDescent="0.4">
      <c r="A57" s="7" t="s">
        <v>208</v>
      </c>
      <c r="B57" s="8" t="s">
        <v>30</v>
      </c>
      <c r="C57" s="137"/>
      <c r="D57" s="137"/>
      <c r="E57" s="137"/>
      <c r="F57" s="137"/>
      <c r="G57" s="137"/>
      <c r="H57" s="137"/>
      <c r="I57" s="137"/>
      <c r="J57" s="45">
        <v>36.1</v>
      </c>
      <c r="K57" s="6"/>
      <c r="L57" s="6"/>
      <c r="M57" s="6"/>
      <c r="N57" s="6"/>
      <c r="O57" s="6"/>
      <c r="P57" s="6"/>
      <c r="Q57" s="6"/>
      <c r="R57" s="22"/>
      <c r="S57" s="22"/>
      <c r="T57" s="22"/>
      <c r="U57" s="22"/>
      <c r="V57" s="22"/>
      <c r="W57" s="293"/>
      <c r="X57" s="293"/>
      <c r="Y57" s="293"/>
      <c r="Z57" s="293"/>
      <c r="AA57" s="293"/>
    </row>
    <row r="58" spans="1:27" ht="52.5" hidden="1" x14ac:dyDescent="0.4">
      <c r="A58" s="7" t="s">
        <v>209</v>
      </c>
      <c r="B58" s="8" t="s">
        <v>30</v>
      </c>
      <c r="C58" s="137"/>
      <c r="D58" s="137"/>
      <c r="E58" s="137"/>
      <c r="F58" s="137"/>
      <c r="G58" s="137"/>
      <c r="H58" s="137"/>
      <c r="I58" s="137"/>
      <c r="J58" s="45">
        <v>92.03</v>
      </c>
      <c r="K58" s="6"/>
      <c r="L58" s="6"/>
      <c r="M58" s="6"/>
      <c r="N58" s="6"/>
      <c r="O58" s="6"/>
      <c r="P58" s="6"/>
      <c r="Q58" s="6"/>
      <c r="R58" s="22"/>
      <c r="S58" s="22"/>
      <c r="T58" s="22"/>
      <c r="U58" s="22"/>
      <c r="V58" s="22"/>
      <c r="W58" s="293"/>
      <c r="X58" s="293"/>
      <c r="Y58" s="293"/>
      <c r="Z58" s="293"/>
      <c r="AA58" s="293"/>
    </row>
    <row r="59" spans="1:27" ht="26.25" hidden="1" x14ac:dyDescent="0.4">
      <c r="A59" s="7" t="s">
        <v>210</v>
      </c>
      <c r="B59" s="8" t="s">
        <v>30</v>
      </c>
      <c r="C59" s="137"/>
      <c r="D59" s="137"/>
      <c r="E59" s="137"/>
      <c r="F59" s="137"/>
      <c r="G59" s="137"/>
      <c r="H59" s="137"/>
      <c r="I59" s="137"/>
      <c r="J59" s="45">
        <v>60.29</v>
      </c>
      <c r="K59" s="6"/>
      <c r="L59" s="6"/>
      <c r="M59" s="6"/>
      <c r="N59" s="6"/>
      <c r="O59" s="6"/>
      <c r="P59" s="6"/>
      <c r="Q59" s="6"/>
      <c r="R59" s="22"/>
      <c r="S59" s="22"/>
      <c r="T59" s="22"/>
      <c r="U59" s="22"/>
      <c r="V59" s="22"/>
      <c r="W59" s="293"/>
      <c r="X59" s="293"/>
      <c r="Y59" s="293"/>
      <c r="Z59" s="293"/>
      <c r="AA59" s="293"/>
    </row>
    <row r="60" spans="1:27" ht="26.25" hidden="1" x14ac:dyDescent="0.4">
      <c r="A60" s="7" t="s">
        <v>211</v>
      </c>
      <c r="B60" s="8" t="s">
        <v>30</v>
      </c>
      <c r="C60" s="137"/>
      <c r="D60" s="137"/>
      <c r="E60" s="137"/>
      <c r="F60" s="137"/>
      <c r="G60" s="137"/>
      <c r="H60" s="137"/>
      <c r="I60" s="137"/>
      <c r="J60" s="45">
        <v>23.54</v>
      </c>
      <c r="K60" s="6"/>
      <c r="L60" s="6"/>
      <c r="M60" s="6"/>
      <c r="N60" s="6"/>
      <c r="O60" s="6"/>
      <c r="P60" s="6"/>
      <c r="Q60" s="6"/>
      <c r="R60" s="22"/>
      <c r="S60" s="22"/>
      <c r="T60" s="22"/>
      <c r="U60" s="22"/>
      <c r="V60" s="22"/>
      <c r="W60" s="293"/>
      <c r="X60" s="293"/>
      <c r="Y60" s="293"/>
      <c r="Z60" s="293"/>
      <c r="AA60" s="293"/>
    </row>
    <row r="61" spans="1:27" ht="26.25" hidden="1" x14ac:dyDescent="0.4">
      <c r="A61" s="7" t="s">
        <v>212</v>
      </c>
      <c r="B61" s="37" t="s">
        <v>30</v>
      </c>
      <c r="C61" s="137"/>
      <c r="D61" s="137"/>
      <c r="E61" s="137"/>
      <c r="F61" s="137"/>
      <c r="G61" s="137"/>
      <c r="H61" s="137"/>
      <c r="I61" s="137"/>
      <c r="J61" s="45">
        <v>86.26</v>
      </c>
      <c r="K61" s="6"/>
      <c r="L61" s="6"/>
      <c r="M61" s="6"/>
      <c r="N61" s="6"/>
      <c r="O61" s="6"/>
      <c r="P61" s="6"/>
      <c r="Q61" s="6"/>
      <c r="R61" s="22"/>
      <c r="S61" s="22"/>
      <c r="T61" s="22"/>
      <c r="U61" s="22"/>
      <c r="V61" s="22"/>
      <c r="W61" s="293"/>
      <c r="X61" s="293"/>
      <c r="Y61" s="293"/>
      <c r="Z61" s="293"/>
      <c r="AA61" s="293"/>
    </row>
    <row r="62" spans="1:27" ht="26.25" hidden="1" x14ac:dyDescent="0.4">
      <c r="A62" s="7" t="s">
        <v>213</v>
      </c>
      <c r="B62" s="8" t="s">
        <v>30</v>
      </c>
      <c r="C62" s="137"/>
      <c r="D62" s="137"/>
      <c r="E62" s="137"/>
      <c r="F62" s="137"/>
      <c r="G62" s="137"/>
      <c r="H62" s="137"/>
      <c r="I62" s="137"/>
      <c r="J62" s="45">
        <v>173.67</v>
      </c>
      <c r="K62" s="6"/>
      <c r="L62" s="6"/>
      <c r="M62" s="6"/>
      <c r="N62" s="6"/>
      <c r="O62" s="6"/>
      <c r="P62" s="6"/>
      <c r="Q62" s="6"/>
      <c r="R62" s="22"/>
      <c r="S62" s="22"/>
      <c r="T62" s="22"/>
      <c r="U62" s="22"/>
      <c r="V62" s="22"/>
      <c r="W62" s="293"/>
      <c r="X62" s="293"/>
      <c r="Y62" s="293"/>
      <c r="Z62" s="293"/>
      <c r="AA62" s="293"/>
    </row>
    <row r="63" spans="1:27" ht="26.25" hidden="1" x14ac:dyDescent="0.4">
      <c r="A63" s="7" t="s">
        <v>214</v>
      </c>
      <c r="B63" s="8" t="s">
        <v>30</v>
      </c>
      <c r="C63" s="137"/>
      <c r="D63" s="137"/>
      <c r="E63" s="137"/>
      <c r="F63" s="137"/>
      <c r="G63" s="137"/>
      <c r="H63" s="137"/>
      <c r="I63" s="137"/>
      <c r="J63" s="45">
        <v>74.099999999999994</v>
      </c>
      <c r="K63" s="6"/>
      <c r="L63" s="6"/>
      <c r="M63" s="6"/>
      <c r="N63" s="6"/>
      <c r="O63" s="6"/>
      <c r="P63" s="6"/>
      <c r="Q63" s="6"/>
      <c r="R63" s="22"/>
      <c r="S63" s="22"/>
      <c r="T63" s="22"/>
      <c r="U63" s="22"/>
      <c r="V63" s="22"/>
      <c r="W63" s="293"/>
      <c r="X63" s="293"/>
      <c r="Y63" s="293"/>
      <c r="Z63" s="293"/>
      <c r="AA63" s="293"/>
    </row>
    <row r="64" spans="1:27" ht="31.5" hidden="1" customHeight="1" x14ac:dyDescent="0.4">
      <c r="A64" s="7" t="s">
        <v>215</v>
      </c>
      <c r="B64" s="8" t="s">
        <v>30</v>
      </c>
      <c r="C64" s="138"/>
      <c r="D64" s="138"/>
      <c r="E64" s="138"/>
      <c r="F64" s="138"/>
      <c r="G64" s="138"/>
      <c r="H64" s="138"/>
      <c r="I64" s="138"/>
      <c r="J64" s="8">
        <v>110.05</v>
      </c>
      <c r="K64" s="6"/>
      <c r="L64" s="6"/>
      <c r="M64" s="6"/>
      <c r="N64" s="6"/>
      <c r="O64" s="6"/>
      <c r="P64" s="6"/>
      <c r="Q64" s="6"/>
      <c r="R64" s="22"/>
      <c r="S64" s="22"/>
      <c r="T64" s="22"/>
      <c r="U64" s="22"/>
      <c r="V64" s="22"/>
      <c r="W64" s="293"/>
      <c r="X64" s="293"/>
      <c r="Y64" s="293"/>
      <c r="Z64" s="293"/>
      <c r="AA64" s="293"/>
    </row>
    <row r="65" spans="1:28" ht="26.25" hidden="1" x14ac:dyDescent="0.4">
      <c r="A65" s="7" t="s">
        <v>216</v>
      </c>
      <c r="B65" s="37" t="s">
        <v>30</v>
      </c>
      <c r="C65" s="137"/>
      <c r="D65" s="137"/>
      <c r="E65" s="137"/>
      <c r="F65" s="137"/>
      <c r="G65" s="137"/>
      <c r="H65" s="137"/>
      <c r="I65" s="137"/>
      <c r="J65" s="45">
        <v>103.16</v>
      </c>
      <c r="K65" s="6"/>
      <c r="L65" s="6"/>
      <c r="M65" s="6"/>
      <c r="N65" s="6"/>
      <c r="O65" s="6"/>
      <c r="P65" s="6"/>
      <c r="Q65" s="6"/>
      <c r="R65" s="22"/>
      <c r="S65" s="22"/>
      <c r="T65" s="22"/>
      <c r="U65" s="22"/>
      <c r="V65" s="22"/>
      <c r="W65" s="293"/>
      <c r="X65" s="293"/>
      <c r="Y65" s="293"/>
      <c r="Z65" s="293"/>
      <c r="AA65" s="293"/>
    </row>
    <row r="66" spans="1:28" ht="78.75" hidden="1" x14ac:dyDescent="0.4">
      <c r="A66" s="7" t="s">
        <v>217</v>
      </c>
      <c r="B66" s="37" t="s">
        <v>30</v>
      </c>
      <c r="C66" s="137"/>
      <c r="D66" s="137"/>
      <c r="E66" s="137"/>
      <c r="F66" s="137"/>
      <c r="G66" s="137"/>
      <c r="H66" s="137"/>
      <c r="I66" s="137"/>
      <c r="J66" s="45">
        <v>35.49</v>
      </c>
      <c r="K66" s="6"/>
      <c r="L66" s="6"/>
      <c r="M66" s="6"/>
      <c r="N66" s="6"/>
      <c r="O66" s="6"/>
      <c r="P66" s="6"/>
      <c r="Q66" s="6"/>
      <c r="R66" s="22"/>
      <c r="S66" s="22"/>
      <c r="T66" s="22"/>
      <c r="U66" s="22"/>
      <c r="V66" s="22"/>
      <c r="W66" s="293"/>
      <c r="X66" s="293"/>
      <c r="Y66" s="293"/>
      <c r="Z66" s="293"/>
      <c r="AA66" s="293"/>
    </row>
    <row r="67" spans="1:28" ht="26.25" hidden="1" x14ac:dyDescent="0.4">
      <c r="A67" s="7" t="s">
        <v>218</v>
      </c>
      <c r="B67" s="37" t="s">
        <v>30</v>
      </c>
      <c r="C67" s="137"/>
      <c r="D67" s="137"/>
      <c r="E67" s="137"/>
      <c r="F67" s="137"/>
      <c r="G67" s="137"/>
      <c r="H67" s="137"/>
      <c r="I67" s="137"/>
      <c r="J67" s="45">
        <v>29.63</v>
      </c>
      <c r="K67" s="6"/>
      <c r="L67" s="6"/>
      <c r="M67" s="6"/>
      <c r="N67" s="6"/>
      <c r="O67" s="6"/>
      <c r="P67" s="6"/>
      <c r="Q67" s="6"/>
      <c r="R67" s="22"/>
      <c r="S67" s="22"/>
      <c r="T67" s="22"/>
      <c r="U67" s="22"/>
      <c r="V67" s="22"/>
      <c r="W67" s="293"/>
      <c r="X67" s="293"/>
      <c r="Y67" s="293"/>
      <c r="Z67" s="293"/>
      <c r="AA67" s="293"/>
    </row>
    <row r="68" spans="1:28" ht="26.25" hidden="1" x14ac:dyDescent="0.4">
      <c r="A68" s="7" t="s">
        <v>219</v>
      </c>
      <c r="B68" s="37" t="s">
        <v>30</v>
      </c>
      <c r="C68" s="137"/>
      <c r="D68" s="137"/>
      <c r="E68" s="137"/>
      <c r="F68" s="137"/>
      <c r="G68" s="137"/>
      <c r="H68" s="137"/>
      <c r="I68" s="137"/>
      <c r="J68" s="45">
        <v>91.52</v>
      </c>
      <c r="K68" s="6"/>
      <c r="L68" s="6"/>
      <c r="M68" s="6"/>
      <c r="N68" s="6"/>
      <c r="O68" s="6"/>
      <c r="P68" s="6"/>
      <c r="Q68" s="6"/>
      <c r="R68" s="22"/>
      <c r="S68" s="22"/>
      <c r="T68" s="22"/>
      <c r="U68" s="22"/>
      <c r="V68" s="22"/>
      <c r="W68" s="293"/>
      <c r="X68" s="293"/>
      <c r="Y68" s="293"/>
      <c r="Z68" s="293"/>
      <c r="AA68" s="293"/>
    </row>
    <row r="69" spans="1:28" ht="26.25" hidden="1" x14ac:dyDescent="0.4">
      <c r="A69" s="7" t="s">
        <v>220</v>
      </c>
      <c r="B69" s="37" t="s">
        <v>30</v>
      </c>
      <c r="C69" s="137"/>
      <c r="D69" s="137"/>
      <c r="E69" s="137"/>
      <c r="F69" s="137"/>
      <c r="G69" s="137"/>
      <c r="H69" s="137"/>
      <c r="I69" s="137"/>
      <c r="J69" s="45">
        <v>4.29</v>
      </c>
      <c r="K69" s="6"/>
      <c r="L69" s="6"/>
      <c r="M69" s="6"/>
      <c r="N69" s="6"/>
      <c r="O69" s="6"/>
      <c r="P69" s="6"/>
      <c r="Q69" s="6"/>
      <c r="R69" s="22"/>
      <c r="S69" s="22"/>
      <c r="T69" s="22"/>
      <c r="U69" s="22"/>
      <c r="V69" s="22"/>
      <c r="W69" s="293"/>
      <c r="X69" s="293"/>
      <c r="Y69" s="293"/>
      <c r="Z69" s="293"/>
      <c r="AA69" s="293"/>
    </row>
    <row r="70" spans="1:28" ht="26.25" hidden="1" x14ac:dyDescent="0.4">
      <c r="A70" s="7" t="s">
        <v>221</v>
      </c>
      <c r="B70" s="37" t="s">
        <v>30</v>
      </c>
      <c r="C70" s="137"/>
      <c r="D70" s="137"/>
      <c r="E70" s="137"/>
      <c r="F70" s="137"/>
      <c r="G70" s="137"/>
      <c r="H70" s="137"/>
      <c r="I70" s="137"/>
      <c r="J70" s="45">
        <v>18.84</v>
      </c>
      <c r="K70" s="6"/>
      <c r="L70" s="6"/>
      <c r="M70" s="6"/>
      <c r="N70" s="6"/>
      <c r="O70" s="6"/>
      <c r="P70" s="6"/>
      <c r="Q70" s="6"/>
      <c r="R70" s="22"/>
      <c r="S70" s="22"/>
      <c r="T70" s="22"/>
      <c r="U70" s="22"/>
      <c r="V70" s="22"/>
      <c r="W70" s="293"/>
      <c r="X70" s="293"/>
      <c r="Y70" s="293"/>
      <c r="Z70" s="293"/>
      <c r="AA70" s="293"/>
    </row>
    <row r="71" spans="1:28" ht="26.25" hidden="1" x14ac:dyDescent="0.4">
      <c r="A71" s="7" t="s">
        <v>222</v>
      </c>
      <c r="B71" s="37" t="s">
        <v>30</v>
      </c>
      <c r="C71" s="137"/>
      <c r="D71" s="137"/>
      <c r="E71" s="137"/>
      <c r="F71" s="137"/>
      <c r="G71" s="137"/>
      <c r="H71" s="137"/>
      <c r="I71" s="137"/>
      <c r="J71" s="45">
        <v>120.3</v>
      </c>
      <c r="K71" s="6"/>
      <c r="L71" s="6"/>
      <c r="M71" s="6"/>
      <c r="N71" s="6"/>
      <c r="O71" s="6"/>
      <c r="P71" s="6"/>
      <c r="Q71" s="6"/>
      <c r="R71" s="22"/>
      <c r="S71" s="22"/>
      <c r="T71" s="22"/>
      <c r="U71" s="22"/>
      <c r="V71" s="22"/>
      <c r="W71" s="293"/>
      <c r="X71" s="293"/>
      <c r="Y71" s="293"/>
      <c r="Z71" s="293"/>
      <c r="AA71" s="293"/>
    </row>
    <row r="72" spans="1:28" ht="26.25" hidden="1" x14ac:dyDescent="0.4">
      <c r="A72" s="7" t="s">
        <v>223</v>
      </c>
      <c r="B72" s="37" t="s">
        <v>30</v>
      </c>
      <c r="C72" s="137"/>
      <c r="D72" s="137"/>
      <c r="E72" s="137"/>
      <c r="F72" s="137"/>
      <c r="G72" s="137"/>
      <c r="H72" s="137"/>
      <c r="I72" s="137"/>
      <c r="J72" s="45">
        <v>75.62</v>
      </c>
      <c r="K72" s="6"/>
      <c r="L72" s="6"/>
      <c r="M72" s="6"/>
      <c r="N72" s="6"/>
      <c r="O72" s="6"/>
      <c r="P72" s="6"/>
      <c r="Q72" s="6"/>
      <c r="R72" s="22"/>
      <c r="S72" s="22"/>
      <c r="T72" s="22"/>
      <c r="U72" s="22"/>
      <c r="V72" s="22"/>
      <c r="W72" s="293"/>
      <c r="X72" s="293"/>
      <c r="Y72" s="293"/>
      <c r="Z72" s="293"/>
      <c r="AA72" s="293"/>
    </row>
    <row r="73" spans="1:28" ht="26.25" hidden="1" x14ac:dyDescent="0.4">
      <c r="A73" s="7" t="s">
        <v>224</v>
      </c>
      <c r="B73" s="37" t="s">
        <v>30</v>
      </c>
      <c r="C73" s="137"/>
      <c r="D73" s="137"/>
      <c r="E73" s="137"/>
      <c r="F73" s="137"/>
      <c r="G73" s="137"/>
      <c r="H73" s="137"/>
      <c r="I73" s="137"/>
      <c r="J73" s="45">
        <v>8.6</v>
      </c>
      <c r="K73" s="6"/>
      <c r="L73" s="6"/>
      <c r="M73" s="6"/>
      <c r="N73" s="6"/>
      <c r="O73" s="6"/>
      <c r="P73" s="6"/>
      <c r="Q73" s="6"/>
      <c r="R73" s="22"/>
      <c r="S73" s="22"/>
      <c r="T73" s="22"/>
      <c r="U73" s="22"/>
      <c r="V73" s="22"/>
      <c r="W73" s="293"/>
      <c r="X73" s="293"/>
      <c r="Y73" s="293"/>
      <c r="Z73" s="293"/>
      <c r="AA73" s="293"/>
    </row>
    <row r="74" spans="1:28" ht="26.25" hidden="1" x14ac:dyDescent="0.4">
      <c r="A74" s="7" t="s">
        <v>225</v>
      </c>
      <c r="B74" s="37" t="s">
        <v>30</v>
      </c>
      <c r="C74" s="137"/>
      <c r="D74" s="137"/>
      <c r="E74" s="137"/>
      <c r="F74" s="137"/>
      <c r="G74" s="137"/>
      <c r="H74" s="137"/>
      <c r="I74" s="137"/>
      <c r="J74" s="45">
        <v>15.7</v>
      </c>
      <c r="K74" s="6"/>
      <c r="L74" s="6"/>
      <c r="M74" s="6"/>
      <c r="N74" s="6"/>
      <c r="O74" s="6"/>
      <c r="P74" s="6"/>
      <c r="Q74" s="6"/>
      <c r="R74" s="22"/>
      <c r="S74" s="22"/>
      <c r="T74" s="22"/>
      <c r="U74" s="22"/>
      <c r="V74" s="22"/>
      <c r="W74" s="293"/>
      <c r="X74" s="293"/>
      <c r="Y74" s="293"/>
      <c r="Z74" s="293"/>
      <c r="AA74" s="293"/>
    </row>
    <row r="75" spans="1:28" ht="52.5" hidden="1" x14ac:dyDescent="0.4">
      <c r="A75" s="7" t="s">
        <v>226</v>
      </c>
      <c r="B75" s="37" t="s">
        <v>30</v>
      </c>
      <c r="C75" s="137"/>
      <c r="D75" s="137"/>
      <c r="E75" s="137"/>
      <c r="F75" s="137"/>
      <c r="G75" s="137"/>
      <c r="H75" s="137"/>
      <c r="I75" s="137"/>
      <c r="J75" s="45">
        <v>16.37</v>
      </c>
      <c r="K75" s="6"/>
      <c r="L75" s="6"/>
      <c r="M75" s="6"/>
      <c r="N75" s="6"/>
      <c r="O75" s="6"/>
      <c r="P75" s="6"/>
      <c r="Q75" s="6"/>
      <c r="R75" s="22"/>
      <c r="S75" s="22"/>
      <c r="T75" s="22"/>
      <c r="U75" s="22"/>
      <c r="V75" s="22"/>
      <c r="W75" s="293"/>
      <c r="X75" s="293"/>
      <c r="Y75" s="293"/>
      <c r="Z75" s="293"/>
      <c r="AA75" s="293"/>
    </row>
    <row r="76" spans="1:28" s="115" customFormat="1" ht="26.25" x14ac:dyDescent="0.4">
      <c r="A76" s="316" t="s">
        <v>227</v>
      </c>
      <c r="B76" s="317" t="s">
        <v>30</v>
      </c>
      <c r="C76" s="137">
        <v>1144.3</v>
      </c>
      <c r="D76" s="137">
        <v>660.39</v>
      </c>
      <c r="E76" s="137">
        <v>633.55799999999999</v>
      </c>
      <c r="F76" s="137">
        <f>E76*$X$77</f>
        <v>675.37282800000003</v>
      </c>
      <c r="G76" s="137">
        <f>F76*$Y$77</f>
        <v>695.63401284000008</v>
      </c>
      <c r="H76" s="137">
        <f>G76*$Z$77</f>
        <v>716.50303322520006</v>
      </c>
      <c r="I76" s="137">
        <f>H76*$AA$77</f>
        <v>737.28162118873081</v>
      </c>
      <c r="J76" s="138">
        <v>25.08</v>
      </c>
      <c r="K76" s="318">
        <f>C76*J76</f>
        <v>28699.043999999998</v>
      </c>
      <c r="L76" s="318">
        <f>D76*$J$76</f>
        <v>16562.581199999997</v>
      </c>
      <c r="M76" s="318">
        <f t="shared" ref="M76:Q76" si="13">E76*$J$76</f>
        <v>15889.634639999998</v>
      </c>
      <c r="N76" s="318">
        <f t="shared" si="13"/>
        <v>16938.350526239999</v>
      </c>
      <c r="O76" s="318">
        <f t="shared" si="13"/>
        <v>17446.501042027201</v>
      </c>
      <c r="P76" s="318">
        <f t="shared" si="13"/>
        <v>17969.896073288015</v>
      </c>
      <c r="Q76" s="318">
        <f t="shared" si="13"/>
        <v>18491.023059413368</v>
      </c>
      <c r="R76" s="319">
        <f>M76/L76*100</f>
        <v>95.936946349884167</v>
      </c>
      <c r="S76" s="319">
        <f t="shared" ref="S76:V91" si="14">N76/M76*100</f>
        <v>106.60000000000001</v>
      </c>
      <c r="T76" s="319">
        <f t="shared" si="14"/>
        <v>103</v>
      </c>
      <c r="U76" s="319">
        <f t="shared" si="14"/>
        <v>102.99999999999999</v>
      </c>
      <c r="V76" s="319">
        <f t="shared" si="14"/>
        <v>102.90000000000002</v>
      </c>
      <c r="W76" s="306"/>
      <c r="X76" s="306"/>
      <c r="Y76" s="306"/>
      <c r="Z76" s="306"/>
      <c r="AA76" s="306"/>
      <c r="AB76" s="195"/>
    </row>
    <row r="77" spans="1:28" s="115" customFormat="1" ht="92.25" x14ac:dyDescent="0.4">
      <c r="A77" s="316" t="s">
        <v>228</v>
      </c>
      <c r="B77" s="317" t="s">
        <v>30</v>
      </c>
      <c r="C77" s="137">
        <v>138.30000000000001</v>
      </c>
      <c r="D77" s="137">
        <v>112.1</v>
      </c>
      <c r="E77" s="137">
        <v>103.842</v>
      </c>
      <c r="F77" s="137">
        <f t="shared" ref="F77:F81" si="15">E77*$X$77</f>
        <v>110.695572</v>
      </c>
      <c r="G77" s="137">
        <f t="shared" ref="G77:G80" si="16">F77*$Y$77</f>
        <v>114.01643916</v>
      </c>
      <c r="H77" s="137">
        <f t="shared" ref="H77:H81" si="17">G77*$Z$77</f>
        <v>117.43693233480001</v>
      </c>
      <c r="I77" s="137">
        <f t="shared" ref="I77:I80" si="18">H77*$AA$77</f>
        <v>120.84260337250919</v>
      </c>
      <c r="J77" s="138">
        <v>97.04</v>
      </c>
      <c r="K77" s="318">
        <f>C77*J77</f>
        <v>13420.632000000001</v>
      </c>
      <c r="L77" s="318">
        <f>D77*$J$77</f>
        <v>10878.183999999999</v>
      </c>
      <c r="M77" s="318">
        <f t="shared" ref="M77:Q77" si="19">E77*$J$77</f>
        <v>10076.82768</v>
      </c>
      <c r="N77" s="318">
        <f t="shared" si="19"/>
        <v>10741.898306880001</v>
      </c>
      <c r="O77" s="318">
        <f t="shared" si="19"/>
        <v>11064.155256086402</v>
      </c>
      <c r="P77" s="318">
        <f t="shared" si="19"/>
        <v>11396.079913768994</v>
      </c>
      <c r="Q77" s="318">
        <f t="shared" si="19"/>
        <v>11726.566231268293</v>
      </c>
      <c r="R77" s="319">
        <f t="shared" ref="R77:R80" si="20">M77/L77*100</f>
        <v>92.633363068688681</v>
      </c>
      <c r="S77" s="319">
        <f>N77/M77*100</f>
        <v>106.60000000000001</v>
      </c>
      <c r="T77" s="319">
        <f t="shared" si="14"/>
        <v>103</v>
      </c>
      <c r="U77" s="319">
        <f t="shared" si="14"/>
        <v>103</v>
      </c>
      <c r="V77" s="319">
        <f t="shared" si="14"/>
        <v>102.89999999999999</v>
      </c>
      <c r="W77" s="320" t="s">
        <v>423</v>
      </c>
      <c r="X77" s="321">
        <v>1.0660000000000001</v>
      </c>
      <c r="Y77" s="321">
        <v>1.03</v>
      </c>
      <c r="Z77" s="321">
        <v>1.03</v>
      </c>
      <c r="AA77" s="321">
        <v>1.0289999999999999</v>
      </c>
      <c r="AB77" s="195"/>
    </row>
    <row r="78" spans="1:28" s="115" customFormat="1" ht="52.5" hidden="1" x14ac:dyDescent="0.4">
      <c r="A78" s="316" t="s">
        <v>229</v>
      </c>
      <c r="B78" s="317" t="s">
        <v>30</v>
      </c>
      <c r="C78" s="137"/>
      <c r="D78" s="137"/>
      <c r="E78" s="137"/>
      <c r="F78" s="137">
        <f t="shared" si="15"/>
        <v>0</v>
      </c>
      <c r="G78" s="137">
        <f t="shared" si="16"/>
        <v>0</v>
      </c>
      <c r="H78" s="137">
        <f t="shared" si="17"/>
        <v>0</v>
      </c>
      <c r="I78" s="137">
        <f t="shared" si="18"/>
        <v>0</v>
      </c>
      <c r="J78" s="138">
        <v>40.6</v>
      </c>
      <c r="K78" s="318"/>
      <c r="L78" s="318"/>
      <c r="M78" s="318"/>
      <c r="N78" s="318"/>
      <c r="O78" s="318"/>
      <c r="P78" s="318"/>
      <c r="Q78" s="318"/>
      <c r="R78" s="319" t="e">
        <f t="shared" si="20"/>
        <v>#DIV/0!</v>
      </c>
      <c r="S78" s="319" t="e">
        <f t="shared" si="14"/>
        <v>#DIV/0!</v>
      </c>
      <c r="T78" s="319" t="e">
        <f t="shared" si="14"/>
        <v>#DIV/0!</v>
      </c>
      <c r="U78" s="319" t="e">
        <f t="shared" si="14"/>
        <v>#DIV/0!</v>
      </c>
      <c r="V78" s="319" t="e">
        <f t="shared" si="14"/>
        <v>#DIV/0!</v>
      </c>
      <c r="W78" s="306"/>
      <c r="X78" s="306"/>
      <c r="Y78" s="306"/>
      <c r="Z78" s="306"/>
      <c r="AA78" s="306"/>
      <c r="AB78" s="195"/>
    </row>
    <row r="79" spans="1:28" s="115" customFormat="1" ht="78.75" hidden="1" x14ac:dyDescent="0.4">
      <c r="A79" s="316" t="s">
        <v>230</v>
      </c>
      <c r="B79" s="317" t="s">
        <v>30</v>
      </c>
      <c r="C79" s="137"/>
      <c r="D79" s="137"/>
      <c r="E79" s="137"/>
      <c r="F79" s="137">
        <f t="shared" si="15"/>
        <v>0</v>
      </c>
      <c r="G79" s="137">
        <f t="shared" si="16"/>
        <v>0</v>
      </c>
      <c r="H79" s="137">
        <f t="shared" si="17"/>
        <v>0</v>
      </c>
      <c r="I79" s="137">
        <f t="shared" si="18"/>
        <v>0</v>
      </c>
      <c r="J79" s="138">
        <v>47.2</v>
      </c>
      <c r="K79" s="318"/>
      <c r="L79" s="318"/>
      <c r="M79" s="318"/>
      <c r="N79" s="318"/>
      <c r="O79" s="318"/>
      <c r="P79" s="318"/>
      <c r="Q79" s="318"/>
      <c r="R79" s="319" t="e">
        <f t="shared" si="20"/>
        <v>#DIV/0!</v>
      </c>
      <c r="S79" s="319" t="e">
        <f t="shared" si="14"/>
        <v>#DIV/0!</v>
      </c>
      <c r="T79" s="319" t="e">
        <f t="shared" si="14"/>
        <v>#DIV/0!</v>
      </c>
      <c r="U79" s="319" t="e">
        <f t="shared" si="14"/>
        <v>#DIV/0!</v>
      </c>
      <c r="V79" s="319" t="e">
        <f t="shared" si="14"/>
        <v>#DIV/0!</v>
      </c>
      <c r="W79" s="306"/>
      <c r="X79" s="306"/>
      <c r="Y79" s="306"/>
      <c r="Z79" s="306"/>
      <c r="AA79" s="306"/>
      <c r="AB79" s="195"/>
    </row>
    <row r="80" spans="1:28" s="115" customFormat="1" ht="52.5" hidden="1" x14ac:dyDescent="0.4">
      <c r="A80" s="316" t="s">
        <v>231</v>
      </c>
      <c r="B80" s="317" t="s">
        <v>30</v>
      </c>
      <c r="C80" s="137"/>
      <c r="D80" s="137"/>
      <c r="E80" s="137"/>
      <c r="F80" s="137">
        <f t="shared" si="15"/>
        <v>0</v>
      </c>
      <c r="G80" s="137">
        <f t="shared" si="16"/>
        <v>0</v>
      </c>
      <c r="H80" s="137">
        <f t="shared" si="17"/>
        <v>0</v>
      </c>
      <c r="I80" s="137">
        <f t="shared" si="18"/>
        <v>0</v>
      </c>
      <c r="J80" s="138">
        <v>67.5</v>
      </c>
      <c r="K80" s="318"/>
      <c r="L80" s="318"/>
      <c r="M80" s="318"/>
      <c r="N80" s="318"/>
      <c r="O80" s="318"/>
      <c r="P80" s="318"/>
      <c r="Q80" s="318"/>
      <c r="R80" s="319" t="e">
        <f t="shared" si="20"/>
        <v>#DIV/0!</v>
      </c>
      <c r="S80" s="319" t="e">
        <f t="shared" si="14"/>
        <v>#DIV/0!</v>
      </c>
      <c r="T80" s="319" t="e">
        <f t="shared" si="14"/>
        <v>#DIV/0!</v>
      </c>
      <c r="U80" s="319" t="e">
        <f t="shared" si="14"/>
        <v>#DIV/0!</v>
      </c>
      <c r="V80" s="319" t="e">
        <f t="shared" si="14"/>
        <v>#DIV/0!</v>
      </c>
      <c r="W80" s="306"/>
      <c r="X80" s="306"/>
      <c r="Y80" s="306"/>
      <c r="Z80" s="306"/>
      <c r="AA80" s="306"/>
      <c r="AB80" s="195"/>
    </row>
    <row r="81" spans="1:28" s="115" customFormat="1" ht="52.5" x14ac:dyDescent="0.4">
      <c r="A81" s="316" t="s">
        <v>232</v>
      </c>
      <c r="B81" s="317" t="s">
        <v>30</v>
      </c>
      <c r="C81" s="137">
        <v>2104.6999999999998</v>
      </c>
      <c r="D81" s="137">
        <v>3630</v>
      </c>
      <c r="E81" s="137">
        <v>3627</v>
      </c>
      <c r="F81" s="137">
        <f t="shared" si="15"/>
        <v>3866.3820000000001</v>
      </c>
      <c r="G81" s="137">
        <f>F81*$Y$77</f>
        <v>3982.3734600000003</v>
      </c>
      <c r="H81" s="137">
        <f t="shared" si="17"/>
        <v>4101.8446638000005</v>
      </c>
      <c r="I81" s="137">
        <f>H81*$AA$77</f>
        <v>4220.7981590502004</v>
      </c>
      <c r="J81" s="138">
        <v>14.2</v>
      </c>
      <c r="K81" s="318">
        <f>C81*J81</f>
        <v>29886.739999999994</v>
      </c>
      <c r="L81" s="318">
        <f>D81*$J$81</f>
        <v>51546</v>
      </c>
      <c r="M81" s="318">
        <f t="shared" ref="M81:P81" si="21">E81*$J$81</f>
        <v>51503.399999999994</v>
      </c>
      <c r="N81" s="318">
        <f t="shared" si="21"/>
        <v>54902.624400000001</v>
      </c>
      <c r="O81" s="318">
        <f t="shared" si="21"/>
        <v>56549.703132000002</v>
      </c>
      <c r="P81" s="318">
        <f t="shared" si="21"/>
        <v>58246.194225960004</v>
      </c>
      <c r="Q81" s="318">
        <f>I81*$J$81</f>
        <v>59935.333858512844</v>
      </c>
      <c r="R81" s="319">
        <f>M81/L81*100</f>
        <v>99.917355371900811</v>
      </c>
      <c r="S81" s="319">
        <f t="shared" si="14"/>
        <v>106.60000000000001</v>
      </c>
      <c r="T81" s="319">
        <f t="shared" si="14"/>
        <v>103</v>
      </c>
      <c r="U81" s="319">
        <f t="shared" si="14"/>
        <v>103</v>
      </c>
      <c r="V81" s="319">
        <f>Q81/P81*100</f>
        <v>102.89999999999999</v>
      </c>
      <c r="W81" s="306"/>
      <c r="X81" s="306"/>
      <c r="Y81" s="306"/>
      <c r="Z81" s="306"/>
      <c r="AA81" s="306"/>
      <c r="AB81" s="195"/>
    </row>
    <row r="82" spans="1:28" s="115" customFormat="1" ht="26.25" hidden="1" x14ac:dyDescent="0.4">
      <c r="A82" s="316" t="s">
        <v>233</v>
      </c>
      <c r="B82" s="317" t="s">
        <v>32</v>
      </c>
      <c r="C82" s="137"/>
      <c r="D82" s="137"/>
      <c r="E82" s="137"/>
      <c r="F82" s="137"/>
      <c r="G82" s="137"/>
      <c r="H82" s="137"/>
      <c r="I82" s="137"/>
      <c r="J82" s="138">
        <v>12.62</v>
      </c>
      <c r="K82" s="318">
        <f t="shared" ref="K82:K101" si="22">C82*J82</f>
        <v>0</v>
      </c>
      <c r="L82" s="318">
        <f t="shared" ref="L82:L101" si="23">D82*J82</f>
        <v>0</v>
      </c>
      <c r="M82" s="318">
        <f t="shared" ref="M82:M101" si="24">E82*J82</f>
        <v>0</v>
      </c>
      <c r="N82" s="318">
        <f t="shared" ref="N82:N101" si="25">F82*J82</f>
        <v>0</v>
      </c>
      <c r="O82" s="318">
        <f t="shared" ref="O82:O101" si="26">G82*J82</f>
        <v>0</v>
      </c>
      <c r="P82" s="318">
        <f t="shared" ref="P82:P101" si="27">H82*J82</f>
        <v>0</v>
      </c>
      <c r="Q82" s="318"/>
      <c r="R82" s="319" t="e">
        <f t="shared" ref="R82:V96" si="28">M82/L82*100</f>
        <v>#DIV/0!</v>
      </c>
      <c r="S82" s="319" t="e">
        <f t="shared" si="14"/>
        <v>#DIV/0!</v>
      </c>
      <c r="T82" s="319" t="e">
        <f t="shared" si="14"/>
        <v>#DIV/0!</v>
      </c>
      <c r="U82" s="319" t="e">
        <f t="shared" si="14"/>
        <v>#DIV/0!</v>
      </c>
      <c r="V82" s="319" t="e">
        <f t="shared" si="14"/>
        <v>#DIV/0!</v>
      </c>
      <c r="W82" s="306"/>
      <c r="X82" s="306"/>
      <c r="Y82" s="306"/>
      <c r="Z82" s="306"/>
      <c r="AA82" s="306"/>
      <c r="AB82" s="195"/>
    </row>
    <row r="83" spans="1:28" s="115" customFormat="1" ht="26.25" hidden="1" x14ac:dyDescent="0.4">
      <c r="A83" s="316" t="s">
        <v>234</v>
      </c>
      <c r="B83" s="317" t="s">
        <v>30</v>
      </c>
      <c r="C83" s="137"/>
      <c r="D83" s="137"/>
      <c r="E83" s="137"/>
      <c r="F83" s="137"/>
      <c r="G83" s="137"/>
      <c r="H83" s="137"/>
      <c r="I83" s="137"/>
      <c r="J83" s="138">
        <v>49.22</v>
      </c>
      <c r="K83" s="318">
        <f t="shared" si="22"/>
        <v>0</v>
      </c>
      <c r="L83" s="318">
        <f t="shared" si="23"/>
        <v>0</v>
      </c>
      <c r="M83" s="318">
        <f t="shared" si="24"/>
        <v>0</v>
      </c>
      <c r="N83" s="318">
        <f t="shared" si="25"/>
        <v>0</v>
      </c>
      <c r="O83" s="318">
        <f t="shared" si="26"/>
        <v>0</v>
      </c>
      <c r="P83" s="318">
        <f t="shared" si="27"/>
        <v>0</v>
      </c>
      <c r="Q83" s="318"/>
      <c r="R83" s="319" t="e">
        <f t="shared" si="28"/>
        <v>#DIV/0!</v>
      </c>
      <c r="S83" s="319" t="e">
        <f t="shared" si="14"/>
        <v>#DIV/0!</v>
      </c>
      <c r="T83" s="319" t="e">
        <f t="shared" si="14"/>
        <v>#DIV/0!</v>
      </c>
      <c r="U83" s="319" t="e">
        <f t="shared" si="14"/>
        <v>#DIV/0!</v>
      </c>
      <c r="V83" s="319" t="e">
        <f t="shared" si="14"/>
        <v>#DIV/0!</v>
      </c>
      <c r="W83" s="306"/>
      <c r="X83" s="306"/>
      <c r="Y83" s="306"/>
      <c r="Z83" s="306"/>
      <c r="AA83" s="306"/>
      <c r="AB83" s="195"/>
    </row>
    <row r="84" spans="1:28" s="115" customFormat="1" ht="26.25" hidden="1" x14ac:dyDescent="0.4">
      <c r="A84" s="316" t="s">
        <v>235</v>
      </c>
      <c r="B84" s="317" t="s">
        <v>30</v>
      </c>
      <c r="C84" s="137"/>
      <c r="D84" s="137"/>
      <c r="E84" s="137"/>
      <c r="F84" s="137"/>
      <c r="G84" s="137"/>
      <c r="H84" s="137"/>
      <c r="I84" s="137"/>
      <c r="J84" s="138">
        <v>58</v>
      </c>
      <c r="K84" s="318">
        <f t="shared" si="22"/>
        <v>0</v>
      </c>
      <c r="L84" s="318">
        <f t="shared" si="23"/>
        <v>0</v>
      </c>
      <c r="M84" s="318">
        <f t="shared" si="24"/>
        <v>0</v>
      </c>
      <c r="N84" s="318">
        <f t="shared" si="25"/>
        <v>0</v>
      </c>
      <c r="O84" s="318">
        <f t="shared" si="26"/>
        <v>0</v>
      </c>
      <c r="P84" s="318">
        <f t="shared" si="27"/>
        <v>0</v>
      </c>
      <c r="Q84" s="318"/>
      <c r="R84" s="319" t="e">
        <f t="shared" si="28"/>
        <v>#DIV/0!</v>
      </c>
      <c r="S84" s="319" t="e">
        <f t="shared" si="14"/>
        <v>#DIV/0!</v>
      </c>
      <c r="T84" s="319" t="e">
        <f t="shared" si="14"/>
        <v>#DIV/0!</v>
      </c>
      <c r="U84" s="319" t="e">
        <f t="shared" si="14"/>
        <v>#DIV/0!</v>
      </c>
      <c r="V84" s="319" t="e">
        <f t="shared" si="14"/>
        <v>#DIV/0!</v>
      </c>
      <c r="W84" s="306"/>
      <c r="X84" s="306"/>
      <c r="Y84" s="306"/>
      <c r="Z84" s="306"/>
      <c r="AA84" s="306"/>
      <c r="AB84" s="195"/>
    </row>
    <row r="85" spans="1:28" s="115" customFormat="1" ht="26.25" hidden="1" x14ac:dyDescent="0.4">
      <c r="A85" s="316" t="s">
        <v>236</v>
      </c>
      <c r="B85" s="317" t="s">
        <v>30</v>
      </c>
      <c r="C85" s="137"/>
      <c r="D85" s="137"/>
      <c r="E85" s="137"/>
      <c r="F85" s="137"/>
      <c r="G85" s="137"/>
      <c r="H85" s="137"/>
      <c r="I85" s="137"/>
      <c r="J85" s="138">
        <v>85.11</v>
      </c>
      <c r="K85" s="318">
        <f t="shared" si="22"/>
        <v>0</v>
      </c>
      <c r="L85" s="318">
        <f t="shared" si="23"/>
        <v>0</v>
      </c>
      <c r="M85" s="318">
        <f t="shared" si="24"/>
        <v>0</v>
      </c>
      <c r="N85" s="318">
        <f t="shared" si="25"/>
        <v>0</v>
      </c>
      <c r="O85" s="318">
        <f t="shared" si="26"/>
        <v>0</v>
      </c>
      <c r="P85" s="318">
        <f t="shared" si="27"/>
        <v>0</v>
      </c>
      <c r="Q85" s="318"/>
      <c r="R85" s="319" t="e">
        <f t="shared" si="28"/>
        <v>#DIV/0!</v>
      </c>
      <c r="S85" s="319" t="e">
        <f t="shared" si="14"/>
        <v>#DIV/0!</v>
      </c>
      <c r="T85" s="319" t="e">
        <f t="shared" si="14"/>
        <v>#DIV/0!</v>
      </c>
      <c r="U85" s="319" t="e">
        <f t="shared" si="14"/>
        <v>#DIV/0!</v>
      </c>
      <c r="V85" s="319" t="e">
        <f t="shared" si="14"/>
        <v>#DIV/0!</v>
      </c>
      <c r="W85" s="306"/>
      <c r="X85" s="306"/>
      <c r="Y85" s="306"/>
      <c r="Z85" s="306"/>
      <c r="AA85" s="306"/>
      <c r="AB85" s="195"/>
    </row>
    <row r="86" spans="1:28" s="115" customFormat="1" ht="26.25" hidden="1" x14ac:dyDescent="0.4">
      <c r="A86" s="316" t="s">
        <v>237</v>
      </c>
      <c r="B86" s="317" t="s">
        <v>30</v>
      </c>
      <c r="C86" s="137"/>
      <c r="D86" s="137"/>
      <c r="E86" s="137"/>
      <c r="F86" s="137"/>
      <c r="G86" s="137"/>
      <c r="H86" s="137"/>
      <c r="I86" s="137"/>
      <c r="J86" s="138">
        <v>1.93</v>
      </c>
      <c r="K86" s="318">
        <f t="shared" si="22"/>
        <v>0</v>
      </c>
      <c r="L86" s="318">
        <f t="shared" si="23"/>
        <v>0</v>
      </c>
      <c r="M86" s="318">
        <f t="shared" si="24"/>
        <v>0</v>
      </c>
      <c r="N86" s="318">
        <f t="shared" si="25"/>
        <v>0</v>
      </c>
      <c r="O86" s="318">
        <f t="shared" si="26"/>
        <v>0</v>
      </c>
      <c r="P86" s="318">
        <f t="shared" si="27"/>
        <v>0</v>
      </c>
      <c r="Q86" s="318"/>
      <c r="R86" s="319" t="e">
        <f t="shared" si="28"/>
        <v>#DIV/0!</v>
      </c>
      <c r="S86" s="319" t="e">
        <f t="shared" si="14"/>
        <v>#DIV/0!</v>
      </c>
      <c r="T86" s="319" t="e">
        <f t="shared" si="14"/>
        <v>#DIV/0!</v>
      </c>
      <c r="U86" s="319" t="e">
        <f t="shared" si="14"/>
        <v>#DIV/0!</v>
      </c>
      <c r="V86" s="319" t="e">
        <f t="shared" si="14"/>
        <v>#DIV/0!</v>
      </c>
      <c r="W86" s="306"/>
      <c r="X86" s="306"/>
      <c r="Y86" s="306"/>
      <c r="Z86" s="306"/>
      <c r="AA86" s="306"/>
      <c r="AB86" s="195"/>
    </row>
    <row r="87" spans="1:28" s="115" customFormat="1" ht="26.25" hidden="1" x14ac:dyDescent="0.4">
      <c r="A87" s="316" t="s">
        <v>238</v>
      </c>
      <c r="B87" s="317" t="s">
        <v>30</v>
      </c>
      <c r="C87" s="137"/>
      <c r="D87" s="137"/>
      <c r="E87" s="137"/>
      <c r="F87" s="137"/>
      <c r="G87" s="137"/>
      <c r="H87" s="137"/>
      <c r="I87" s="137"/>
      <c r="J87" s="138">
        <v>279.60000000000002</v>
      </c>
      <c r="K87" s="318">
        <f t="shared" si="22"/>
        <v>0</v>
      </c>
      <c r="L87" s="318">
        <f t="shared" si="23"/>
        <v>0</v>
      </c>
      <c r="M87" s="318">
        <f t="shared" si="24"/>
        <v>0</v>
      </c>
      <c r="N87" s="318">
        <f t="shared" si="25"/>
        <v>0</v>
      </c>
      <c r="O87" s="318">
        <f t="shared" si="26"/>
        <v>0</v>
      </c>
      <c r="P87" s="318">
        <f t="shared" si="27"/>
        <v>0</v>
      </c>
      <c r="Q87" s="318"/>
      <c r="R87" s="319" t="e">
        <f t="shared" si="28"/>
        <v>#DIV/0!</v>
      </c>
      <c r="S87" s="319" t="e">
        <f t="shared" si="14"/>
        <v>#DIV/0!</v>
      </c>
      <c r="T87" s="319" t="e">
        <f t="shared" si="14"/>
        <v>#DIV/0!</v>
      </c>
      <c r="U87" s="319" t="e">
        <f t="shared" si="14"/>
        <v>#DIV/0!</v>
      </c>
      <c r="V87" s="319" t="e">
        <f t="shared" si="14"/>
        <v>#DIV/0!</v>
      </c>
      <c r="W87" s="306"/>
      <c r="X87" s="306"/>
      <c r="Y87" s="306"/>
      <c r="Z87" s="306"/>
      <c r="AA87" s="306"/>
      <c r="AB87" s="195"/>
    </row>
    <row r="88" spans="1:28" s="115" customFormat="1" ht="105" hidden="1" x14ac:dyDescent="0.4">
      <c r="A88" s="316" t="s">
        <v>239</v>
      </c>
      <c r="B88" s="317" t="s">
        <v>30</v>
      </c>
      <c r="C88" s="137"/>
      <c r="D88" s="137"/>
      <c r="E88" s="137"/>
      <c r="F88" s="137"/>
      <c r="G88" s="137"/>
      <c r="H88" s="137"/>
      <c r="I88" s="137"/>
      <c r="J88" s="138">
        <v>61.1</v>
      </c>
      <c r="K88" s="318">
        <f t="shared" si="22"/>
        <v>0</v>
      </c>
      <c r="L88" s="318">
        <f t="shared" si="23"/>
        <v>0</v>
      </c>
      <c r="M88" s="318">
        <f t="shared" si="24"/>
        <v>0</v>
      </c>
      <c r="N88" s="318">
        <f t="shared" si="25"/>
        <v>0</v>
      </c>
      <c r="O88" s="318">
        <f t="shared" si="26"/>
        <v>0</v>
      </c>
      <c r="P88" s="318">
        <f t="shared" si="27"/>
        <v>0</v>
      </c>
      <c r="Q88" s="318"/>
      <c r="R88" s="319" t="e">
        <f t="shared" si="28"/>
        <v>#DIV/0!</v>
      </c>
      <c r="S88" s="319" t="e">
        <f t="shared" si="14"/>
        <v>#DIV/0!</v>
      </c>
      <c r="T88" s="319" t="e">
        <f t="shared" si="14"/>
        <v>#DIV/0!</v>
      </c>
      <c r="U88" s="319" t="e">
        <f t="shared" si="14"/>
        <v>#DIV/0!</v>
      </c>
      <c r="V88" s="319" t="e">
        <f t="shared" si="14"/>
        <v>#DIV/0!</v>
      </c>
      <c r="W88" s="306"/>
      <c r="X88" s="306"/>
      <c r="Y88" s="306"/>
      <c r="Z88" s="306"/>
      <c r="AA88" s="306"/>
      <c r="AB88" s="195"/>
    </row>
    <row r="89" spans="1:28" s="115" customFormat="1" ht="52.5" hidden="1" x14ac:dyDescent="0.4">
      <c r="A89" s="316" t="s">
        <v>240</v>
      </c>
      <c r="B89" s="317" t="s">
        <v>30</v>
      </c>
      <c r="C89" s="137"/>
      <c r="D89" s="137"/>
      <c r="E89" s="137"/>
      <c r="F89" s="137"/>
      <c r="G89" s="137"/>
      <c r="H89" s="137"/>
      <c r="I89" s="137"/>
      <c r="J89" s="138">
        <v>75.14</v>
      </c>
      <c r="K89" s="318">
        <f t="shared" si="22"/>
        <v>0</v>
      </c>
      <c r="L89" s="318">
        <f t="shared" si="23"/>
        <v>0</v>
      </c>
      <c r="M89" s="318">
        <f t="shared" si="24"/>
        <v>0</v>
      </c>
      <c r="N89" s="318">
        <f t="shared" si="25"/>
        <v>0</v>
      </c>
      <c r="O89" s="318">
        <f t="shared" si="26"/>
        <v>0</v>
      </c>
      <c r="P89" s="318">
        <f t="shared" si="27"/>
        <v>0</v>
      </c>
      <c r="Q89" s="318"/>
      <c r="R89" s="319" t="e">
        <f t="shared" si="28"/>
        <v>#DIV/0!</v>
      </c>
      <c r="S89" s="319" t="e">
        <f t="shared" si="14"/>
        <v>#DIV/0!</v>
      </c>
      <c r="T89" s="319" t="e">
        <f t="shared" si="14"/>
        <v>#DIV/0!</v>
      </c>
      <c r="U89" s="319" t="e">
        <f t="shared" si="14"/>
        <v>#DIV/0!</v>
      </c>
      <c r="V89" s="319" t="e">
        <f t="shared" si="14"/>
        <v>#DIV/0!</v>
      </c>
      <c r="W89" s="306"/>
      <c r="X89" s="306"/>
      <c r="Y89" s="306"/>
      <c r="Z89" s="306"/>
      <c r="AA89" s="306"/>
      <c r="AB89" s="195"/>
    </row>
    <row r="90" spans="1:28" s="115" customFormat="1" ht="78.75" hidden="1" x14ac:dyDescent="0.4">
      <c r="A90" s="316" t="s">
        <v>241</v>
      </c>
      <c r="B90" s="317" t="s">
        <v>30</v>
      </c>
      <c r="C90" s="137"/>
      <c r="D90" s="137"/>
      <c r="E90" s="137"/>
      <c r="F90" s="137"/>
      <c r="G90" s="137"/>
      <c r="H90" s="137"/>
      <c r="I90" s="137"/>
      <c r="J90" s="138">
        <v>110.7</v>
      </c>
      <c r="K90" s="318">
        <f t="shared" si="22"/>
        <v>0</v>
      </c>
      <c r="L90" s="318">
        <f t="shared" si="23"/>
        <v>0</v>
      </c>
      <c r="M90" s="318">
        <f t="shared" si="24"/>
        <v>0</v>
      </c>
      <c r="N90" s="318">
        <f t="shared" si="25"/>
        <v>0</v>
      </c>
      <c r="O90" s="318">
        <f t="shared" si="26"/>
        <v>0</v>
      </c>
      <c r="P90" s="318">
        <f t="shared" si="27"/>
        <v>0</v>
      </c>
      <c r="Q90" s="318"/>
      <c r="R90" s="319" t="e">
        <f t="shared" si="28"/>
        <v>#DIV/0!</v>
      </c>
      <c r="S90" s="319" t="e">
        <f t="shared" si="14"/>
        <v>#DIV/0!</v>
      </c>
      <c r="T90" s="319" t="e">
        <f t="shared" si="14"/>
        <v>#DIV/0!</v>
      </c>
      <c r="U90" s="319" t="e">
        <f t="shared" si="14"/>
        <v>#DIV/0!</v>
      </c>
      <c r="V90" s="319" t="e">
        <f t="shared" si="14"/>
        <v>#DIV/0!</v>
      </c>
      <c r="W90" s="306"/>
      <c r="X90" s="306"/>
      <c r="Y90" s="306"/>
      <c r="Z90" s="306"/>
      <c r="AA90" s="306"/>
      <c r="AB90" s="195"/>
    </row>
    <row r="91" spans="1:28" s="115" customFormat="1" ht="53.25" hidden="1" customHeight="1" x14ac:dyDescent="0.4">
      <c r="A91" s="316" t="s">
        <v>242</v>
      </c>
      <c r="B91" s="317" t="s">
        <v>30</v>
      </c>
      <c r="C91" s="137"/>
      <c r="D91" s="137"/>
      <c r="E91" s="137"/>
      <c r="F91" s="137"/>
      <c r="G91" s="137"/>
      <c r="H91" s="137"/>
      <c r="I91" s="137"/>
      <c r="J91" s="138">
        <v>62.2</v>
      </c>
      <c r="K91" s="318">
        <f t="shared" si="22"/>
        <v>0</v>
      </c>
      <c r="L91" s="318">
        <f t="shared" si="23"/>
        <v>0</v>
      </c>
      <c r="M91" s="318">
        <f t="shared" si="24"/>
        <v>0</v>
      </c>
      <c r="N91" s="318">
        <f t="shared" si="25"/>
        <v>0</v>
      </c>
      <c r="O91" s="318">
        <f t="shared" si="26"/>
        <v>0</v>
      </c>
      <c r="P91" s="318">
        <f t="shared" si="27"/>
        <v>0</v>
      </c>
      <c r="Q91" s="318"/>
      <c r="R91" s="319" t="e">
        <f t="shared" si="28"/>
        <v>#DIV/0!</v>
      </c>
      <c r="S91" s="319" t="e">
        <f t="shared" si="14"/>
        <v>#DIV/0!</v>
      </c>
      <c r="T91" s="319" t="e">
        <f t="shared" si="14"/>
        <v>#DIV/0!</v>
      </c>
      <c r="U91" s="319" t="e">
        <f t="shared" si="14"/>
        <v>#DIV/0!</v>
      </c>
      <c r="V91" s="319" t="e">
        <f t="shared" si="14"/>
        <v>#DIV/0!</v>
      </c>
      <c r="W91" s="306"/>
      <c r="X91" s="306"/>
      <c r="Y91" s="306"/>
      <c r="Z91" s="306"/>
      <c r="AA91" s="306"/>
      <c r="AB91" s="195"/>
    </row>
    <row r="92" spans="1:28" s="115" customFormat="1" ht="26.25" hidden="1" x14ac:dyDescent="0.4">
      <c r="A92" s="316" t="s">
        <v>243</v>
      </c>
      <c r="B92" s="138" t="s">
        <v>30</v>
      </c>
      <c r="C92" s="137"/>
      <c r="D92" s="137"/>
      <c r="E92" s="137"/>
      <c r="F92" s="137"/>
      <c r="G92" s="137"/>
      <c r="H92" s="137"/>
      <c r="I92" s="137"/>
      <c r="J92" s="138">
        <v>20.6</v>
      </c>
      <c r="K92" s="318">
        <f t="shared" si="22"/>
        <v>0</v>
      </c>
      <c r="L92" s="318">
        <f t="shared" si="23"/>
        <v>0</v>
      </c>
      <c r="M92" s="318">
        <f t="shared" si="24"/>
        <v>0</v>
      </c>
      <c r="N92" s="318">
        <f t="shared" si="25"/>
        <v>0</v>
      </c>
      <c r="O92" s="318">
        <f t="shared" si="26"/>
        <v>0</v>
      </c>
      <c r="P92" s="318">
        <f t="shared" si="27"/>
        <v>0</v>
      </c>
      <c r="Q92" s="318"/>
      <c r="R92" s="319" t="e">
        <f t="shared" si="28"/>
        <v>#DIV/0!</v>
      </c>
      <c r="S92" s="319" t="e">
        <f t="shared" si="28"/>
        <v>#DIV/0!</v>
      </c>
      <c r="T92" s="319" t="e">
        <f t="shared" si="28"/>
        <v>#DIV/0!</v>
      </c>
      <c r="U92" s="319" t="e">
        <f t="shared" si="28"/>
        <v>#DIV/0!</v>
      </c>
      <c r="V92" s="319" t="e">
        <f t="shared" si="28"/>
        <v>#DIV/0!</v>
      </c>
      <c r="W92" s="306"/>
      <c r="X92" s="306"/>
      <c r="Y92" s="306"/>
      <c r="Z92" s="306"/>
      <c r="AA92" s="306"/>
      <c r="AB92" s="195"/>
    </row>
    <row r="93" spans="1:28" s="115" customFormat="1" ht="26.25" hidden="1" x14ac:dyDescent="0.4">
      <c r="A93" s="316" t="s">
        <v>244</v>
      </c>
      <c r="B93" s="138" t="s">
        <v>30</v>
      </c>
      <c r="C93" s="137"/>
      <c r="D93" s="137"/>
      <c r="E93" s="137"/>
      <c r="F93" s="137"/>
      <c r="G93" s="137"/>
      <c r="H93" s="137"/>
      <c r="I93" s="137"/>
      <c r="J93" s="138">
        <v>9.57</v>
      </c>
      <c r="K93" s="318">
        <f t="shared" si="22"/>
        <v>0</v>
      </c>
      <c r="L93" s="318">
        <f t="shared" si="23"/>
        <v>0</v>
      </c>
      <c r="M93" s="318">
        <f t="shared" si="24"/>
        <v>0</v>
      </c>
      <c r="N93" s="318">
        <f t="shared" si="25"/>
        <v>0</v>
      </c>
      <c r="O93" s="318">
        <f t="shared" si="26"/>
        <v>0</v>
      </c>
      <c r="P93" s="318">
        <f t="shared" si="27"/>
        <v>0</v>
      </c>
      <c r="Q93" s="318"/>
      <c r="R93" s="319" t="e">
        <f t="shared" si="28"/>
        <v>#DIV/0!</v>
      </c>
      <c r="S93" s="319" t="e">
        <f t="shared" si="28"/>
        <v>#DIV/0!</v>
      </c>
      <c r="T93" s="319" t="e">
        <f t="shared" si="28"/>
        <v>#DIV/0!</v>
      </c>
      <c r="U93" s="319" t="e">
        <f t="shared" si="28"/>
        <v>#DIV/0!</v>
      </c>
      <c r="V93" s="319" t="e">
        <f t="shared" si="28"/>
        <v>#DIV/0!</v>
      </c>
      <c r="W93" s="306"/>
      <c r="X93" s="306"/>
      <c r="Y93" s="306"/>
      <c r="Z93" s="306"/>
      <c r="AA93" s="306"/>
      <c r="AB93" s="195"/>
    </row>
    <row r="94" spans="1:28" s="115" customFormat="1" ht="24.75" hidden="1" customHeight="1" x14ac:dyDescent="0.4">
      <c r="A94" s="316" t="s">
        <v>245</v>
      </c>
      <c r="B94" s="138" t="s">
        <v>30</v>
      </c>
      <c r="C94" s="137"/>
      <c r="D94" s="137"/>
      <c r="E94" s="137"/>
      <c r="F94" s="137"/>
      <c r="G94" s="137"/>
      <c r="H94" s="137"/>
      <c r="I94" s="137"/>
      <c r="J94" s="138">
        <v>5.21</v>
      </c>
      <c r="K94" s="318">
        <f t="shared" si="22"/>
        <v>0</v>
      </c>
      <c r="L94" s="318">
        <f t="shared" si="23"/>
        <v>0</v>
      </c>
      <c r="M94" s="318">
        <f t="shared" si="24"/>
        <v>0</v>
      </c>
      <c r="N94" s="318">
        <f t="shared" si="25"/>
        <v>0</v>
      </c>
      <c r="O94" s="318">
        <f t="shared" si="26"/>
        <v>0</v>
      </c>
      <c r="P94" s="318">
        <f t="shared" si="27"/>
        <v>0</v>
      </c>
      <c r="Q94" s="318"/>
      <c r="R94" s="319" t="e">
        <f t="shared" si="28"/>
        <v>#DIV/0!</v>
      </c>
      <c r="S94" s="319" t="e">
        <f t="shared" si="28"/>
        <v>#DIV/0!</v>
      </c>
      <c r="T94" s="319" t="e">
        <f t="shared" si="28"/>
        <v>#DIV/0!</v>
      </c>
      <c r="U94" s="319" t="e">
        <f t="shared" si="28"/>
        <v>#DIV/0!</v>
      </c>
      <c r="V94" s="319" t="e">
        <f t="shared" si="28"/>
        <v>#DIV/0!</v>
      </c>
      <c r="W94" s="306"/>
      <c r="X94" s="306"/>
      <c r="Y94" s="306"/>
      <c r="Z94" s="306"/>
      <c r="AA94" s="306"/>
      <c r="AB94" s="195"/>
    </row>
    <row r="95" spans="1:28" s="115" customFormat="1" ht="26.25" hidden="1" x14ac:dyDescent="0.4">
      <c r="A95" s="316" t="s">
        <v>246</v>
      </c>
      <c r="B95" s="138" t="s">
        <v>30</v>
      </c>
      <c r="C95" s="137"/>
      <c r="D95" s="137"/>
      <c r="E95" s="137"/>
      <c r="F95" s="137"/>
      <c r="G95" s="137"/>
      <c r="H95" s="137"/>
      <c r="I95" s="137"/>
      <c r="J95" s="138">
        <v>7.25</v>
      </c>
      <c r="K95" s="318">
        <f t="shared" si="22"/>
        <v>0</v>
      </c>
      <c r="L95" s="318">
        <f t="shared" si="23"/>
        <v>0</v>
      </c>
      <c r="M95" s="318">
        <f t="shared" si="24"/>
        <v>0</v>
      </c>
      <c r="N95" s="318">
        <f t="shared" si="25"/>
        <v>0</v>
      </c>
      <c r="O95" s="318">
        <f t="shared" si="26"/>
        <v>0</v>
      </c>
      <c r="P95" s="318">
        <f t="shared" si="27"/>
        <v>0</v>
      </c>
      <c r="Q95" s="318"/>
      <c r="R95" s="319" t="e">
        <f t="shared" si="28"/>
        <v>#DIV/0!</v>
      </c>
      <c r="S95" s="319" t="e">
        <f t="shared" si="28"/>
        <v>#DIV/0!</v>
      </c>
      <c r="T95" s="319" t="e">
        <f t="shared" si="28"/>
        <v>#DIV/0!</v>
      </c>
      <c r="U95" s="319" t="e">
        <f t="shared" si="28"/>
        <v>#DIV/0!</v>
      </c>
      <c r="V95" s="319" t="e">
        <f t="shared" si="28"/>
        <v>#DIV/0!</v>
      </c>
      <c r="W95" s="306"/>
      <c r="X95" s="306"/>
      <c r="Y95" s="306"/>
      <c r="Z95" s="306"/>
      <c r="AA95" s="306"/>
      <c r="AB95" s="195"/>
    </row>
    <row r="96" spans="1:28" s="115" customFormat="1" ht="26.25" x14ac:dyDescent="0.4">
      <c r="A96" s="316"/>
      <c r="B96" s="138"/>
      <c r="C96" s="137"/>
      <c r="D96" s="137"/>
      <c r="E96" s="137"/>
      <c r="F96" s="137"/>
      <c r="G96" s="137"/>
      <c r="H96" s="137"/>
      <c r="I96" s="308"/>
      <c r="J96" s="322"/>
      <c r="K96" s="318">
        <f>K76+K77+K81</f>
        <v>72006.415999999997</v>
      </c>
      <c r="L96" s="318">
        <f>L76+L77+L81</f>
        <v>78986.765199999994</v>
      </c>
      <c r="M96" s="318">
        <f>M76+M77+M81</f>
        <v>77469.862319999986</v>
      </c>
      <c r="N96" s="318">
        <f t="shared" ref="N96:Q96" si="29">N76+N77+N81</f>
        <v>82582.873233120001</v>
      </c>
      <c r="O96" s="318">
        <f t="shared" si="29"/>
        <v>85060.359430113604</v>
      </c>
      <c r="P96" s="318">
        <f t="shared" si="29"/>
        <v>87612.170213017016</v>
      </c>
      <c r="Q96" s="318">
        <f t="shared" si="29"/>
        <v>90152.92314919451</v>
      </c>
      <c r="R96" s="323">
        <f>M96/L96*100</f>
        <v>98.079548040536793</v>
      </c>
      <c r="S96" s="323">
        <f t="shared" si="28"/>
        <v>106.60000000000002</v>
      </c>
      <c r="T96" s="323">
        <f t="shared" si="28"/>
        <v>103</v>
      </c>
      <c r="U96" s="323">
        <f t="shared" si="28"/>
        <v>103</v>
      </c>
      <c r="V96" s="323">
        <f>Q96/P96*100</f>
        <v>102.89999999999999</v>
      </c>
      <c r="W96" s="306"/>
      <c r="X96" s="306"/>
      <c r="Y96" s="306"/>
      <c r="Z96" s="306"/>
      <c r="AA96" s="306"/>
      <c r="AB96" s="195"/>
    </row>
    <row r="97" spans="1:28" s="115" customFormat="1" ht="29.25" customHeight="1" x14ac:dyDescent="0.4">
      <c r="A97" s="324" t="s">
        <v>247</v>
      </c>
      <c r="B97" s="318"/>
      <c r="C97" s="137"/>
      <c r="D97" s="137"/>
      <c r="E97" s="137"/>
      <c r="F97" s="137"/>
      <c r="G97" s="137"/>
      <c r="H97" s="137"/>
      <c r="I97" s="308"/>
      <c r="J97" s="325"/>
      <c r="K97" s="318"/>
      <c r="L97" s="318"/>
      <c r="M97" s="318"/>
      <c r="N97" s="318"/>
      <c r="O97" s="318"/>
      <c r="P97" s="318"/>
      <c r="Q97" s="318"/>
      <c r="R97" s="318"/>
      <c r="S97" s="318"/>
      <c r="T97" s="318"/>
      <c r="U97" s="318"/>
      <c r="V97" s="318"/>
      <c r="W97" s="306"/>
      <c r="X97" s="306"/>
      <c r="Y97" s="306"/>
      <c r="Z97" s="306"/>
      <c r="AA97" s="306"/>
      <c r="AB97" s="195"/>
    </row>
    <row r="98" spans="1:28" s="115" customFormat="1" ht="52.5" hidden="1" x14ac:dyDescent="0.4">
      <c r="A98" s="316" t="s">
        <v>248</v>
      </c>
      <c r="B98" s="138" t="s">
        <v>254</v>
      </c>
      <c r="C98" s="137"/>
      <c r="D98" s="137"/>
      <c r="E98" s="137"/>
      <c r="F98" s="137"/>
      <c r="G98" s="137"/>
      <c r="H98" s="137"/>
      <c r="I98" s="137"/>
      <c r="J98" s="138">
        <v>747.6</v>
      </c>
      <c r="K98" s="318">
        <f t="shared" si="22"/>
        <v>0</v>
      </c>
      <c r="L98" s="318">
        <f t="shared" si="23"/>
        <v>0</v>
      </c>
      <c r="M98" s="318">
        <f t="shared" si="24"/>
        <v>0</v>
      </c>
      <c r="N98" s="318">
        <f t="shared" si="25"/>
        <v>0</v>
      </c>
      <c r="O98" s="318">
        <f t="shared" si="26"/>
        <v>0</v>
      </c>
      <c r="P98" s="318">
        <f t="shared" si="27"/>
        <v>0</v>
      </c>
      <c r="Q98" s="318"/>
      <c r="R98" s="318"/>
      <c r="S98" s="318"/>
      <c r="T98" s="318"/>
      <c r="U98" s="318"/>
      <c r="V98" s="318"/>
      <c r="W98" s="306"/>
      <c r="X98" s="306"/>
      <c r="Y98" s="306"/>
      <c r="Z98" s="306"/>
      <c r="AA98" s="306"/>
      <c r="AB98" s="195"/>
    </row>
    <row r="99" spans="1:28" s="115" customFormat="1" ht="52.5" hidden="1" x14ac:dyDescent="0.4">
      <c r="A99" s="316" t="s">
        <v>249</v>
      </c>
      <c r="B99" s="138" t="s">
        <v>254</v>
      </c>
      <c r="C99" s="137"/>
      <c r="D99" s="137"/>
      <c r="E99" s="137"/>
      <c r="F99" s="137"/>
      <c r="G99" s="137"/>
      <c r="H99" s="137"/>
      <c r="I99" s="137"/>
      <c r="J99" s="138">
        <v>134.16</v>
      </c>
      <c r="K99" s="318">
        <f t="shared" si="22"/>
        <v>0</v>
      </c>
      <c r="L99" s="318">
        <f t="shared" si="23"/>
        <v>0</v>
      </c>
      <c r="M99" s="318">
        <f t="shared" si="24"/>
        <v>0</v>
      </c>
      <c r="N99" s="318">
        <f t="shared" si="25"/>
        <v>0</v>
      </c>
      <c r="O99" s="318">
        <f t="shared" si="26"/>
        <v>0</v>
      </c>
      <c r="P99" s="318">
        <f t="shared" si="27"/>
        <v>0</v>
      </c>
      <c r="Q99" s="318"/>
      <c r="R99" s="318"/>
      <c r="S99" s="318"/>
      <c r="T99" s="318"/>
      <c r="U99" s="318"/>
      <c r="V99" s="318"/>
      <c r="W99" s="306"/>
      <c r="X99" s="306"/>
      <c r="Y99" s="306"/>
      <c r="Z99" s="306"/>
      <c r="AA99" s="306"/>
      <c r="AB99" s="195"/>
    </row>
    <row r="100" spans="1:28" s="115" customFormat="1" ht="30" hidden="1" customHeight="1" x14ac:dyDescent="0.4">
      <c r="A100" s="316" t="s">
        <v>250</v>
      </c>
      <c r="B100" s="317" t="s">
        <v>30</v>
      </c>
      <c r="C100" s="137"/>
      <c r="D100" s="137"/>
      <c r="E100" s="137"/>
      <c r="F100" s="137"/>
      <c r="G100" s="137"/>
      <c r="H100" s="137"/>
      <c r="I100" s="137"/>
      <c r="J100" s="138">
        <v>115.5</v>
      </c>
      <c r="K100" s="318">
        <f t="shared" si="22"/>
        <v>0</v>
      </c>
      <c r="L100" s="318">
        <f t="shared" si="23"/>
        <v>0</v>
      </c>
      <c r="M100" s="318">
        <f t="shared" si="24"/>
        <v>0</v>
      </c>
      <c r="N100" s="318">
        <f t="shared" si="25"/>
        <v>0</v>
      </c>
      <c r="O100" s="318">
        <f t="shared" si="26"/>
        <v>0</v>
      </c>
      <c r="P100" s="318">
        <f t="shared" si="27"/>
        <v>0</v>
      </c>
      <c r="Q100" s="318"/>
      <c r="R100" s="318"/>
      <c r="S100" s="318"/>
      <c r="T100" s="318"/>
      <c r="U100" s="318"/>
      <c r="V100" s="318"/>
      <c r="W100" s="306"/>
      <c r="X100" s="306"/>
      <c r="Y100" s="306"/>
      <c r="Z100" s="306"/>
      <c r="AA100" s="306"/>
      <c r="AB100" s="195"/>
    </row>
    <row r="101" spans="1:28" s="115" customFormat="1" ht="52.5" hidden="1" x14ac:dyDescent="0.4">
      <c r="A101" s="316" t="s">
        <v>251</v>
      </c>
      <c r="B101" s="138" t="s">
        <v>255</v>
      </c>
      <c r="C101" s="137"/>
      <c r="D101" s="137"/>
      <c r="E101" s="137"/>
      <c r="F101" s="137"/>
      <c r="G101" s="137"/>
      <c r="H101" s="137"/>
      <c r="I101" s="137"/>
      <c r="J101" s="138">
        <v>4.7</v>
      </c>
      <c r="K101" s="318">
        <f t="shared" si="22"/>
        <v>0</v>
      </c>
      <c r="L101" s="318">
        <f t="shared" si="23"/>
        <v>0</v>
      </c>
      <c r="M101" s="318">
        <f t="shared" si="24"/>
        <v>0</v>
      </c>
      <c r="N101" s="318">
        <f t="shared" si="25"/>
        <v>0</v>
      </c>
      <c r="O101" s="318">
        <f t="shared" si="26"/>
        <v>0</v>
      </c>
      <c r="P101" s="318">
        <f t="shared" si="27"/>
        <v>0</v>
      </c>
      <c r="Q101" s="318"/>
      <c r="R101" s="318"/>
      <c r="S101" s="318"/>
      <c r="T101" s="318"/>
      <c r="U101" s="318"/>
      <c r="V101" s="318"/>
      <c r="W101" s="306"/>
      <c r="X101" s="306"/>
      <c r="Y101" s="306"/>
      <c r="Z101" s="306"/>
      <c r="AA101" s="306"/>
      <c r="AB101" s="195"/>
    </row>
    <row r="102" spans="1:28" s="115" customFormat="1" ht="115.5" customHeight="1" x14ac:dyDescent="0.4">
      <c r="A102" s="316" t="s">
        <v>252</v>
      </c>
      <c r="B102" s="138" t="s">
        <v>254</v>
      </c>
      <c r="C102" s="137">
        <v>3183.1875</v>
      </c>
      <c r="D102" s="137">
        <v>4754.1499999999996</v>
      </c>
      <c r="E102" s="137">
        <v>6046.2</v>
      </c>
      <c r="F102" s="137">
        <f>E102*X77</f>
        <v>6445.2492000000002</v>
      </c>
      <c r="G102" s="137">
        <f t="shared" ref="G102:H102" si="30">F102*Y77</f>
        <v>6638.6066760000003</v>
      </c>
      <c r="H102" s="137">
        <f t="shared" si="30"/>
        <v>6837.7648762800009</v>
      </c>
      <c r="I102" s="137">
        <f>H102*AA77</f>
        <v>7036.0600576921206</v>
      </c>
      <c r="J102" s="138">
        <v>4.7</v>
      </c>
      <c r="K102" s="318">
        <f>C102*J102</f>
        <v>14960.981250000001</v>
      </c>
      <c r="L102" s="318">
        <f>D102*$J$102</f>
        <v>22344.504999999997</v>
      </c>
      <c r="M102" s="318">
        <f>E102*$J$102</f>
        <v>28417.14</v>
      </c>
      <c r="N102" s="318">
        <f>F102*$J$102</f>
        <v>30292.671240000003</v>
      </c>
      <c r="O102" s="318">
        <f t="shared" ref="O102:Q102" si="31">G102*$J$102</f>
        <v>31201.451377200003</v>
      </c>
      <c r="P102" s="318">
        <f t="shared" si="31"/>
        <v>32137.494918516004</v>
      </c>
      <c r="Q102" s="318">
        <f t="shared" si="31"/>
        <v>33069.48227115297</v>
      </c>
      <c r="R102" s="319">
        <f>M102/L102*100</f>
        <v>127.17730824647941</v>
      </c>
      <c r="S102" s="319">
        <f t="shared" ref="S102:V103" si="32">N102/M102*100</f>
        <v>106.60000000000001</v>
      </c>
      <c r="T102" s="319">
        <f t="shared" si="32"/>
        <v>103</v>
      </c>
      <c r="U102" s="319">
        <f t="shared" si="32"/>
        <v>103</v>
      </c>
      <c r="V102" s="319">
        <f t="shared" si="32"/>
        <v>102.90000000000002</v>
      </c>
      <c r="W102" s="195"/>
      <c r="X102" s="306"/>
      <c r="Y102" s="306"/>
      <c r="Z102" s="306"/>
      <c r="AA102" s="306"/>
      <c r="AB102" s="195"/>
    </row>
    <row r="103" spans="1:28" s="115" customFormat="1" ht="40.5" customHeight="1" x14ac:dyDescent="0.4">
      <c r="A103" s="326" t="s">
        <v>31</v>
      </c>
      <c r="B103" s="327" t="s">
        <v>55</v>
      </c>
      <c r="C103" s="311" t="s">
        <v>55</v>
      </c>
      <c r="D103" s="311" t="s">
        <v>55</v>
      </c>
      <c r="E103" s="311" t="s">
        <v>55</v>
      </c>
      <c r="F103" s="311"/>
      <c r="G103" s="311" t="s">
        <v>55</v>
      </c>
      <c r="H103" s="311"/>
      <c r="I103" s="311"/>
      <c r="J103" s="313" t="s">
        <v>55</v>
      </c>
      <c r="K103" s="314">
        <f>K102+K96</f>
        <v>86967.397249999995</v>
      </c>
      <c r="L103" s="314">
        <f>L102+L96</f>
        <v>101331.2702</v>
      </c>
      <c r="M103" s="314">
        <f t="shared" ref="M103:Q103" si="33">M102+M96</f>
        <v>105887.00231999999</v>
      </c>
      <c r="N103" s="314">
        <f>N102+N96</f>
        <v>112875.54447312001</v>
      </c>
      <c r="O103" s="314">
        <f t="shared" si="33"/>
        <v>116261.81080731361</v>
      </c>
      <c r="P103" s="314">
        <f t="shared" si="33"/>
        <v>119749.66513153302</v>
      </c>
      <c r="Q103" s="314">
        <f t="shared" si="33"/>
        <v>123222.40542034748</v>
      </c>
      <c r="R103" s="323">
        <f>M103/L103*100</f>
        <v>104.49587981183718</v>
      </c>
      <c r="S103" s="323">
        <f>N103/M103*100</f>
        <v>106.60000000000002</v>
      </c>
      <c r="T103" s="323">
        <f>O103/N103*100</f>
        <v>103</v>
      </c>
      <c r="U103" s="323">
        <f t="shared" si="32"/>
        <v>103</v>
      </c>
      <c r="V103" s="323">
        <f t="shared" si="32"/>
        <v>102.89999999999999</v>
      </c>
      <c r="W103" s="306"/>
      <c r="X103" s="306"/>
      <c r="Y103" s="306"/>
      <c r="Z103" s="306"/>
      <c r="AA103" s="306"/>
      <c r="AB103" s="195"/>
    </row>
    <row r="104" spans="1:28" ht="27" customHeight="1" x14ac:dyDescent="0.25">
      <c r="A104" s="400" t="s">
        <v>256</v>
      </c>
      <c r="B104" s="401"/>
      <c r="C104" s="401"/>
      <c r="D104" s="401"/>
      <c r="E104" s="401"/>
      <c r="F104" s="401"/>
      <c r="G104" s="401"/>
      <c r="H104" s="401"/>
      <c r="I104" s="401"/>
      <c r="J104" s="401"/>
      <c r="K104" s="401"/>
      <c r="L104" s="401"/>
      <c r="M104" s="401"/>
      <c r="N104" s="401"/>
      <c r="O104" s="401"/>
      <c r="P104" s="401"/>
      <c r="Q104" s="401"/>
      <c r="R104" s="401"/>
      <c r="S104" s="401"/>
      <c r="T104" s="401"/>
      <c r="U104" s="401"/>
      <c r="V104" s="401"/>
      <c r="W104" s="293"/>
      <c r="X104" s="293"/>
      <c r="Y104" s="293"/>
      <c r="Z104" s="293"/>
      <c r="AA104" s="293"/>
    </row>
    <row r="105" spans="1:28" ht="57.75" hidden="1" customHeight="1" x14ac:dyDescent="0.4">
      <c r="A105" s="13" t="s">
        <v>262</v>
      </c>
      <c r="B105" s="8" t="s">
        <v>263</v>
      </c>
      <c r="C105" s="4"/>
      <c r="D105" s="4"/>
      <c r="E105" s="4"/>
      <c r="F105" s="4"/>
      <c r="G105" s="4"/>
      <c r="H105" s="4"/>
      <c r="I105" s="4"/>
      <c r="J105" s="45">
        <v>945.2</v>
      </c>
      <c r="K105" s="6"/>
      <c r="L105" s="6"/>
      <c r="M105" s="6"/>
      <c r="N105" s="6"/>
      <c r="O105" s="6"/>
      <c r="P105" s="6"/>
      <c r="Q105" s="6"/>
      <c r="R105" s="22"/>
      <c r="S105" s="22"/>
      <c r="T105" s="22"/>
      <c r="U105" s="22"/>
      <c r="V105" s="22"/>
      <c r="W105" s="293"/>
      <c r="X105" s="293"/>
      <c r="Y105" s="293"/>
      <c r="Z105" s="293"/>
      <c r="AA105" s="293"/>
    </row>
    <row r="106" spans="1:28" s="115" customFormat="1" ht="73.5" customHeight="1" x14ac:dyDescent="0.4">
      <c r="A106" s="316" t="s">
        <v>259</v>
      </c>
      <c r="B106" s="138" t="s">
        <v>48</v>
      </c>
      <c r="C106" s="137">
        <v>176.79</v>
      </c>
      <c r="D106" s="137">
        <v>221.97</v>
      </c>
      <c r="E106" s="137">
        <v>226.18743000000001</v>
      </c>
      <c r="F106" s="137">
        <f>E106*$X$106</f>
        <v>239.30630094000003</v>
      </c>
      <c r="G106" s="137">
        <f>F106*$Y$106</f>
        <v>252.46814749170002</v>
      </c>
      <c r="H106" s="137">
        <f>G106*$Z$106</f>
        <v>261.80946894889291</v>
      </c>
      <c r="I106" s="137">
        <f>H106*$AA$106</f>
        <v>271.75822876895086</v>
      </c>
      <c r="J106" s="138">
        <v>1700.21</v>
      </c>
      <c r="K106" s="318">
        <f>C106*J106</f>
        <v>300580.12589999998</v>
      </c>
      <c r="L106" s="318">
        <f>D106*$J$106</f>
        <v>377395.61369999999</v>
      </c>
      <c r="M106" s="318">
        <f>E106*$J$106</f>
        <v>384566.13036030001</v>
      </c>
      <c r="N106" s="318">
        <f t="shared" ref="N106:P106" si="34">F106*$J$106</f>
        <v>406870.96592119744</v>
      </c>
      <c r="O106" s="318">
        <f t="shared" si="34"/>
        <v>429248.86904686328</v>
      </c>
      <c r="P106" s="318">
        <f t="shared" si="34"/>
        <v>445131.07720159722</v>
      </c>
      <c r="Q106" s="318">
        <f>I106*$J$106</f>
        <v>462046.05813525798</v>
      </c>
      <c r="R106" s="319">
        <f>M106/L106*100</f>
        <v>101.9</v>
      </c>
      <c r="S106" s="319">
        <f t="shared" ref="S106:V111" si="35">N106/M106*100</f>
        <v>105.80000000000001</v>
      </c>
      <c r="T106" s="319">
        <f t="shared" si="35"/>
        <v>105.5</v>
      </c>
      <c r="U106" s="319">
        <f t="shared" si="35"/>
        <v>103.69999999999999</v>
      </c>
      <c r="V106" s="319">
        <f>Q106/P106*100</f>
        <v>103.8</v>
      </c>
      <c r="W106" s="320" t="s">
        <v>424</v>
      </c>
      <c r="X106" s="321">
        <v>1.0580000000000001</v>
      </c>
      <c r="Y106" s="321">
        <v>1.0549999999999999</v>
      </c>
      <c r="Z106" s="321">
        <v>1.0369999999999999</v>
      </c>
      <c r="AA106" s="321">
        <v>1.038</v>
      </c>
      <c r="AB106" s="195"/>
    </row>
    <row r="107" spans="1:28" s="115" customFormat="1" ht="54" customHeight="1" x14ac:dyDescent="0.4">
      <c r="A107" s="328" t="s">
        <v>260</v>
      </c>
      <c r="B107" s="138" t="s">
        <v>263</v>
      </c>
      <c r="C107" s="137">
        <v>192.50899999999999</v>
      </c>
      <c r="D107" s="137">
        <v>154.19</v>
      </c>
      <c r="E107" s="137">
        <v>147.05799999999999</v>
      </c>
      <c r="F107" s="137">
        <f t="shared" ref="F107:F109" si="36">E107*$X$106</f>
        <v>155.58736400000001</v>
      </c>
      <c r="G107" s="137">
        <f t="shared" ref="G107:G109" si="37">F107*$Y$106</f>
        <v>164.14466902000001</v>
      </c>
      <c r="H107" s="137">
        <f t="shared" ref="H107:H109" si="38">G107*$Z$106</f>
        <v>170.21802177373999</v>
      </c>
      <c r="I107" s="137">
        <f t="shared" ref="I107:I108" si="39">H107*$AA$106</f>
        <v>176.68630660114212</v>
      </c>
      <c r="J107" s="138">
        <v>501.51</v>
      </c>
      <c r="K107" s="318">
        <f>C107*J107</f>
        <v>96545.188589999991</v>
      </c>
      <c r="L107" s="318">
        <f>D107*J107</f>
        <v>77327.8269</v>
      </c>
      <c r="M107" s="318">
        <f>E107*J107</f>
        <v>73751.057579999993</v>
      </c>
      <c r="N107" s="318">
        <f>F107*J107</f>
        <v>78028.618919640008</v>
      </c>
      <c r="O107" s="318">
        <f>G107*J107</f>
        <v>82320.1929602202</v>
      </c>
      <c r="P107" s="318">
        <f>H107*J107</f>
        <v>85366.040099748338</v>
      </c>
      <c r="Q107" s="318">
        <f>I107*J107</f>
        <v>88609.949623538778</v>
      </c>
      <c r="R107" s="319">
        <f>M107/L107*100</f>
        <v>95.374537907776116</v>
      </c>
      <c r="S107" s="319">
        <f t="shared" si="35"/>
        <v>105.80000000000003</v>
      </c>
      <c r="T107" s="319">
        <f t="shared" si="35"/>
        <v>105.5</v>
      </c>
      <c r="U107" s="319">
        <f t="shared" si="35"/>
        <v>103.69999999999999</v>
      </c>
      <c r="V107" s="319">
        <f t="shared" si="35"/>
        <v>103.8</v>
      </c>
      <c r="W107" s="306"/>
      <c r="X107" s="306"/>
      <c r="Y107" s="306"/>
      <c r="Z107" s="306"/>
      <c r="AA107" s="306"/>
      <c r="AB107" s="195"/>
    </row>
    <row r="108" spans="1:28" s="115" customFormat="1" ht="52.5" hidden="1" customHeight="1" x14ac:dyDescent="0.4">
      <c r="A108" s="316" t="s">
        <v>261</v>
      </c>
      <c r="B108" s="138" t="s">
        <v>263</v>
      </c>
      <c r="C108" s="137"/>
      <c r="D108" s="137"/>
      <c r="E108" s="137"/>
      <c r="F108" s="137">
        <f t="shared" si="36"/>
        <v>0</v>
      </c>
      <c r="G108" s="137">
        <f t="shared" si="37"/>
        <v>0</v>
      </c>
      <c r="H108" s="137">
        <f t="shared" si="38"/>
        <v>0</v>
      </c>
      <c r="I108" s="137">
        <f t="shared" si="39"/>
        <v>0</v>
      </c>
      <c r="J108" s="138">
        <v>444.92</v>
      </c>
      <c r="K108" s="318">
        <f t="shared" ref="K108" si="40">C108*J108</f>
        <v>0</v>
      </c>
      <c r="L108" s="318">
        <f t="shared" ref="L108" si="41">D108*J108</f>
        <v>0</v>
      </c>
      <c r="M108" s="318">
        <f t="shared" ref="M108" si="42">E108*J108</f>
        <v>0</v>
      </c>
      <c r="N108" s="318">
        <f t="shared" ref="N108:N109" si="43">F108*J108</f>
        <v>0</v>
      </c>
      <c r="O108" s="318">
        <f t="shared" ref="O108:O109" si="44">G108*J108</f>
        <v>0</v>
      </c>
      <c r="P108" s="318">
        <f t="shared" ref="P108:P109" si="45">H108*J108</f>
        <v>0</v>
      </c>
      <c r="Q108" s="318">
        <f t="shared" ref="Q108:Q109" si="46">I108*J108</f>
        <v>0</v>
      </c>
      <c r="R108" s="319" t="e">
        <f t="shared" ref="R108" si="47">M108/L108*100</f>
        <v>#DIV/0!</v>
      </c>
      <c r="S108" s="319" t="e">
        <f t="shared" si="35"/>
        <v>#DIV/0!</v>
      </c>
      <c r="T108" s="319" t="e">
        <f t="shared" si="35"/>
        <v>#DIV/0!</v>
      </c>
      <c r="U108" s="319" t="e">
        <f t="shared" si="35"/>
        <v>#DIV/0!</v>
      </c>
      <c r="V108" s="319" t="e">
        <f t="shared" si="35"/>
        <v>#DIV/0!</v>
      </c>
      <c r="W108" s="306"/>
      <c r="X108" s="306"/>
      <c r="Y108" s="306"/>
      <c r="Z108" s="306"/>
      <c r="AA108" s="306"/>
      <c r="AB108" s="195"/>
    </row>
    <row r="109" spans="1:28" s="115" customFormat="1" ht="57.75" customHeight="1" x14ac:dyDescent="0.4">
      <c r="A109" s="328" t="s">
        <v>262</v>
      </c>
      <c r="B109" s="138" t="s">
        <v>263</v>
      </c>
      <c r="C109" s="137">
        <v>141.523</v>
      </c>
      <c r="D109" s="137">
        <v>112.96</v>
      </c>
      <c r="E109" s="137">
        <v>111.842</v>
      </c>
      <c r="F109" s="137">
        <f t="shared" si="36"/>
        <v>118.32883600000001</v>
      </c>
      <c r="G109" s="137">
        <f t="shared" si="37"/>
        <v>124.83692198</v>
      </c>
      <c r="H109" s="137">
        <f t="shared" si="38"/>
        <v>129.45588809326</v>
      </c>
      <c r="I109" s="137">
        <f>H109*$AA$106</f>
        <v>134.37521184080387</v>
      </c>
      <c r="J109" s="138">
        <v>945.2</v>
      </c>
      <c r="K109" s="318">
        <f>C109*J109</f>
        <v>133767.53959999999</v>
      </c>
      <c r="L109" s="318">
        <f>D109*J109</f>
        <v>106769.792</v>
      </c>
      <c r="M109" s="318">
        <f>E109*J109</f>
        <v>105713.05840000001</v>
      </c>
      <c r="N109" s="318">
        <f t="shared" si="43"/>
        <v>111844.41578720002</v>
      </c>
      <c r="O109" s="318">
        <f t="shared" si="44"/>
        <v>117995.85865549601</v>
      </c>
      <c r="P109" s="318">
        <f t="shared" si="45"/>
        <v>122361.70542574936</v>
      </c>
      <c r="Q109" s="318">
        <f t="shared" si="46"/>
        <v>127011.45023192783</v>
      </c>
      <c r="R109" s="319">
        <f>M109/L109*100</f>
        <v>99.010269121813039</v>
      </c>
      <c r="S109" s="319">
        <f t="shared" si="35"/>
        <v>105.80000000000001</v>
      </c>
      <c r="T109" s="319">
        <f t="shared" si="35"/>
        <v>105.5</v>
      </c>
      <c r="U109" s="319">
        <f t="shared" si="35"/>
        <v>103.69999999999999</v>
      </c>
      <c r="V109" s="319">
        <f t="shared" si="35"/>
        <v>103.8</v>
      </c>
      <c r="W109" s="306"/>
      <c r="X109" s="306"/>
      <c r="Y109" s="306"/>
      <c r="Z109" s="306"/>
      <c r="AA109" s="306"/>
      <c r="AB109" s="195"/>
    </row>
    <row r="110" spans="1:28" s="115" customFormat="1" ht="26.25" customHeight="1" x14ac:dyDescent="0.4">
      <c r="A110" s="329" t="s">
        <v>31</v>
      </c>
      <c r="B110" s="330"/>
      <c r="C110" s="308"/>
      <c r="D110" s="308"/>
      <c r="E110" s="308"/>
      <c r="F110" s="308"/>
      <c r="G110" s="308"/>
      <c r="H110" s="308"/>
      <c r="I110" s="308"/>
      <c r="J110" s="322"/>
      <c r="K110" s="325">
        <f>SUM(K106:K109)</f>
        <v>530892.85408999992</v>
      </c>
      <c r="L110" s="325">
        <f>SUM(L106:L109)</f>
        <v>561493.23259999999</v>
      </c>
      <c r="M110" s="325">
        <f>SUM(M106:M109)</f>
        <v>564030.24634029996</v>
      </c>
      <c r="N110" s="325">
        <f t="shared" ref="N110:O110" si="48">SUM(N106:N109)</f>
        <v>596744.00062803749</v>
      </c>
      <c r="O110" s="325">
        <f t="shared" si="48"/>
        <v>629564.92066257948</v>
      </c>
      <c r="P110" s="325">
        <f>SUM(P106:P109)</f>
        <v>652858.82272709487</v>
      </c>
      <c r="Q110" s="325">
        <f>SUM(Q106:Q109)</f>
        <v>677667.45799072459</v>
      </c>
      <c r="R110" s="323">
        <f>M110/L110*100</f>
        <v>100.45183336022632</v>
      </c>
      <c r="S110" s="323">
        <f t="shared" si="35"/>
        <v>105.80000000000003</v>
      </c>
      <c r="T110" s="323">
        <f t="shared" si="35"/>
        <v>105.5</v>
      </c>
      <c r="U110" s="323">
        <f t="shared" si="35"/>
        <v>103.69999999999999</v>
      </c>
      <c r="V110" s="323">
        <f t="shared" si="35"/>
        <v>103.80000000000003</v>
      </c>
      <c r="W110" s="306"/>
      <c r="X110" s="306"/>
      <c r="Y110" s="306"/>
      <c r="Z110" s="306"/>
      <c r="AA110" s="306"/>
      <c r="AB110" s="195"/>
    </row>
    <row r="111" spans="1:28" s="115" customFormat="1" ht="71.25" customHeight="1" x14ac:dyDescent="0.4">
      <c r="A111" s="331" t="s">
        <v>264</v>
      </c>
      <c r="B111" s="311" t="s">
        <v>55</v>
      </c>
      <c r="C111" s="311" t="s">
        <v>55</v>
      </c>
      <c r="D111" s="311" t="s">
        <v>55</v>
      </c>
      <c r="E111" s="311" t="s">
        <v>55</v>
      </c>
      <c r="F111" s="311"/>
      <c r="G111" s="311" t="s">
        <v>55</v>
      </c>
      <c r="H111" s="311"/>
      <c r="I111" s="311"/>
      <c r="J111" s="311" t="s">
        <v>55</v>
      </c>
      <c r="K111" s="314">
        <f>K20+K103+K110</f>
        <v>2365901.1541399998</v>
      </c>
      <c r="L111" s="314">
        <f t="shared" ref="L111:O111" si="49">L20+L103+L110</f>
        <v>2939619.4667999996</v>
      </c>
      <c r="M111" s="314">
        <f t="shared" si="49"/>
        <v>3029903.6626602998</v>
      </c>
      <c r="N111" s="314">
        <f t="shared" si="49"/>
        <v>3232445.0216671578</v>
      </c>
      <c r="O111" s="314">
        <f t="shared" si="49"/>
        <v>3389747.8309110613</v>
      </c>
      <c r="P111" s="314">
        <f>P20+P103+P110</f>
        <v>3503778.9835813539</v>
      </c>
      <c r="Q111" s="314">
        <f>Q20+Q103+Q110</f>
        <v>3603070.7920225896</v>
      </c>
      <c r="R111" s="323">
        <f t="shared" ref="R111" si="50">M111/L111*100</f>
        <v>103.07128854193435</v>
      </c>
      <c r="S111" s="323">
        <f t="shared" si="35"/>
        <v>106.6847458387183</v>
      </c>
      <c r="T111" s="323">
        <f t="shared" si="35"/>
        <v>104.86637230299351</v>
      </c>
      <c r="U111" s="323">
        <f t="shared" si="35"/>
        <v>103.36400105135976</v>
      </c>
      <c r="V111" s="323">
        <f>Q111/P111*100</f>
        <v>102.83384907856674</v>
      </c>
      <c r="W111" s="306"/>
      <c r="X111" s="306"/>
      <c r="Y111" s="306"/>
      <c r="Z111" s="306"/>
      <c r="AA111" s="306"/>
      <c r="AB111" s="195"/>
    </row>
    <row r="112" spans="1:28" ht="27" hidden="1" x14ac:dyDescent="0.35">
      <c r="A112" s="402" t="s">
        <v>265</v>
      </c>
      <c r="B112" s="403"/>
      <c r="C112" s="403"/>
      <c r="D112" s="403"/>
      <c r="E112" s="403"/>
      <c r="F112" s="403"/>
      <c r="G112" s="403"/>
      <c r="H112" s="403"/>
      <c r="I112" s="403"/>
      <c r="J112" s="403"/>
      <c r="K112" s="403"/>
      <c r="L112" s="403"/>
      <c r="M112" s="403"/>
      <c r="N112" s="403"/>
      <c r="O112" s="403"/>
      <c r="P112" s="403"/>
      <c r="Q112" s="403"/>
      <c r="R112" s="403"/>
      <c r="S112" s="403"/>
      <c r="T112" s="403"/>
      <c r="U112" s="403"/>
      <c r="V112" s="403"/>
      <c r="W112" s="293"/>
      <c r="X112" s="293"/>
      <c r="Y112" s="293"/>
      <c r="Z112" s="293"/>
      <c r="AA112" s="293"/>
    </row>
    <row r="113" spans="1:27" ht="26.25" hidden="1" x14ac:dyDescent="0.4">
      <c r="A113" s="11" t="s">
        <v>35</v>
      </c>
      <c r="B113" s="36" t="s">
        <v>30</v>
      </c>
      <c r="C113" s="2"/>
      <c r="D113" s="2"/>
      <c r="E113" s="2"/>
      <c r="F113" s="2"/>
      <c r="G113" s="2"/>
      <c r="H113" s="2"/>
      <c r="I113" s="2"/>
      <c r="J113" s="44" t="s">
        <v>52</v>
      </c>
      <c r="K113" s="12"/>
      <c r="L113" s="12"/>
      <c r="M113" s="12"/>
      <c r="N113" s="12"/>
      <c r="O113" s="12"/>
      <c r="P113" s="12"/>
      <c r="Q113" s="12"/>
      <c r="R113" s="23"/>
      <c r="S113" s="23"/>
      <c r="T113" s="23"/>
      <c r="U113" s="23"/>
      <c r="V113" s="23"/>
      <c r="W113" s="293"/>
      <c r="X113" s="293"/>
      <c r="Y113" s="293"/>
      <c r="Z113" s="293"/>
      <c r="AA113" s="293"/>
    </row>
    <row r="114" spans="1:27" ht="26.25" hidden="1" x14ac:dyDescent="0.4">
      <c r="A114" s="30" t="s">
        <v>36</v>
      </c>
      <c r="B114" s="37" t="s">
        <v>30</v>
      </c>
      <c r="C114" s="4"/>
      <c r="D114" s="4"/>
      <c r="E114" s="4"/>
      <c r="F114" s="4"/>
      <c r="G114" s="4"/>
      <c r="H114" s="4"/>
      <c r="I114" s="4"/>
      <c r="J114" s="45" t="s">
        <v>53</v>
      </c>
      <c r="K114" s="14"/>
      <c r="L114" s="14"/>
      <c r="M114" s="14"/>
      <c r="N114" s="14"/>
      <c r="O114" s="14"/>
      <c r="P114" s="14"/>
      <c r="Q114" s="14"/>
      <c r="R114" s="24"/>
      <c r="S114" s="24"/>
      <c r="T114" s="24"/>
      <c r="U114" s="24"/>
      <c r="V114" s="24"/>
      <c r="W114" s="293"/>
      <c r="X114" s="293"/>
      <c r="Y114" s="293"/>
      <c r="Z114" s="293"/>
      <c r="AA114" s="293"/>
    </row>
    <row r="115" spans="1:27" ht="26.25" hidden="1" x14ac:dyDescent="0.4">
      <c r="A115" s="13" t="s">
        <v>37</v>
      </c>
      <c r="B115" s="37" t="s">
        <v>30</v>
      </c>
      <c r="C115" s="4"/>
      <c r="D115" s="4"/>
      <c r="E115" s="4"/>
      <c r="F115" s="4"/>
      <c r="G115" s="4"/>
      <c r="H115" s="4"/>
      <c r="I115" s="4"/>
      <c r="J115" s="45" t="s">
        <v>54</v>
      </c>
      <c r="K115" s="14"/>
      <c r="L115" s="14"/>
      <c r="M115" s="14"/>
      <c r="N115" s="14"/>
      <c r="O115" s="14"/>
      <c r="P115" s="14"/>
      <c r="Q115" s="14"/>
      <c r="R115" s="24"/>
      <c r="S115" s="24"/>
      <c r="T115" s="24"/>
      <c r="U115" s="24"/>
      <c r="V115" s="24"/>
      <c r="W115" s="293"/>
      <c r="X115" s="293"/>
      <c r="Y115" s="293"/>
      <c r="Z115" s="293"/>
      <c r="AA115" s="293"/>
    </row>
    <row r="116" spans="1:27" ht="26.25" hidden="1" x14ac:dyDescent="0.4">
      <c r="A116" s="13" t="s">
        <v>38</v>
      </c>
      <c r="B116" s="37" t="s">
        <v>30</v>
      </c>
      <c r="C116" s="4"/>
      <c r="D116" s="4"/>
      <c r="E116" s="4"/>
      <c r="F116" s="4"/>
      <c r="G116" s="4"/>
      <c r="H116" s="4"/>
      <c r="I116" s="4"/>
      <c r="J116" s="45" t="s">
        <v>49</v>
      </c>
      <c r="K116" s="14"/>
      <c r="L116" s="14"/>
      <c r="M116" s="14"/>
      <c r="N116" s="14"/>
      <c r="O116" s="14"/>
      <c r="P116" s="14"/>
      <c r="Q116" s="14"/>
      <c r="R116" s="24"/>
      <c r="S116" s="24"/>
      <c r="T116" s="24"/>
      <c r="U116" s="24"/>
      <c r="V116" s="24"/>
      <c r="W116" s="293"/>
      <c r="X116" s="293"/>
      <c r="Y116" s="293"/>
      <c r="Z116" s="293"/>
      <c r="AA116" s="293"/>
    </row>
    <row r="117" spans="1:27" ht="26.25" hidden="1" x14ac:dyDescent="0.4">
      <c r="A117" s="13" t="s">
        <v>39</v>
      </c>
      <c r="B117" s="37" t="s">
        <v>30</v>
      </c>
      <c r="C117" s="4"/>
      <c r="D117" s="4"/>
      <c r="E117" s="4"/>
      <c r="F117" s="4"/>
      <c r="G117" s="4"/>
      <c r="H117" s="4"/>
      <c r="I117" s="4"/>
      <c r="J117" s="45" t="s">
        <v>51</v>
      </c>
      <c r="K117" s="14"/>
      <c r="L117" s="14"/>
      <c r="M117" s="14"/>
      <c r="N117" s="14"/>
      <c r="O117" s="14"/>
      <c r="P117" s="14"/>
      <c r="Q117" s="14"/>
      <c r="R117" s="24"/>
      <c r="S117" s="24"/>
      <c r="T117" s="24"/>
      <c r="U117" s="24"/>
      <c r="V117" s="24"/>
      <c r="W117" s="293"/>
      <c r="X117" s="293"/>
      <c r="Y117" s="293"/>
      <c r="Z117" s="293"/>
      <c r="AA117" s="293"/>
    </row>
    <row r="118" spans="1:27" ht="26.25" hidden="1" x14ac:dyDescent="0.4">
      <c r="A118" s="13" t="s">
        <v>40</v>
      </c>
      <c r="B118" s="37" t="s">
        <v>33</v>
      </c>
      <c r="C118" s="4"/>
      <c r="D118" s="4"/>
      <c r="E118" s="4"/>
      <c r="F118" s="4"/>
      <c r="G118" s="4"/>
      <c r="H118" s="4"/>
      <c r="I118" s="4"/>
      <c r="J118" s="45" t="s">
        <v>50</v>
      </c>
      <c r="K118" s="14"/>
      <c r="L118" s="14"/>
      <c r="M118" s="14"/>
      <c r="N118" s="14"/>
      <c r="O118" s="14"/>
      <c r="P118" s="14"/>
      <c r="Q118" s="14"/>
      <c r="R118" s="24"/>
      <c r="S118" s="24"/>
      <c r="T118" s="24"/>
      <c r="U118" s="24"/>
      <c r="V118" s="24"/>
      <c r="W118" s="293"/>
      <c r="X118" s="293"/>
      <c r="Y118" s="293"/>
      <c r="Z118" s="293"/>
      <c r="AA118" s="293"/>
    </row>
    <row r="119" spans="1:27" ht="27.75" hidden="1" x14ac:dyDescent="0.4">
      <c r="A119" s="25" t="s">
        <v>31</v>
      </c>
      <c r="B119" s="38" t="s">
        <v>55</v>
      </c>
      <c r="C119" s="9"/>
      <c r="D119" s="9"/>
      <c r="E119" s="9"/>
      <c r="F119" s="9"/>
      <c r="G119" s="9" t="s">
        <v>55</v>
      </c>
      <c r="H119" s="9"/>
      <c r="I119" s="9"/>
      <c r="J119" s="46" t="s">
        <v>55</v>
      </c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293"/>
      <c r="X119" s="293"/>
      <c r="Y119" s="293"/>
      <c r="Z119" s="293"/>
      <c r="AA119" s="293"/>
    </row>
    <row r="120" spans="1:27" ht="27.75" x14ac:dyDescent="0.4">
      <c r="A120" s="26"/>
      <c r="B120" s="39"/>
      <c r="C120" s="18"/>
      <c r="D120" s="18"/>
      <c r="E120" s="18"/>
      <c r="F120" s="18"/>
      <c r="G120" s="18"/>
      <c r="H120" s="18"/>
      <c r="I120" s="18"/>
      <c r="J120" s="47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7" ht="26.25" x14ac:dyDescent="0.4">
      <c r="A121" s="392" t="s">
        <v>57</v>
      </c>
      <c r="B121" s="393"/>
      <c r="C121" s="393"/>
      <c r="D121" s="393"/>
      <c r="E121" s="393"/>
      <c r="F121" s="393"/>
      <c r="G121" s="393"/>
      <c r="H121" s="393"/>
      <c r="I121" s="393"/>
      <c r="J121" s="393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7" ht="26.25" x14ac:dyDescent="0.4">
      <c r="A122" s="27" t="s">
        <v>267</v>
      </c>
      <c r="B122" s="40"/>
      <c r="C122" s="28"/>
      <c r="D122" s="28"/>
      <c r="E122" s="28"/>
      <c r="F122" s="28"/>
      <c r="G122" s="28"/>
      <c r="H122" s="28"/>
      <c r="I122" s="28"/>
      <c r="J122" s="48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</row>
    <row r="123" spans="1:27" ht="57.75" customHeight="1" x14ac:dyDescent="0.2">
      <c r="A123" s="394" t="s">
        <v>58</v>
      </c>
      <c r="B123" s="394"/>
      <c r="C123" s="394"/>
      <c r="D123" s="394"/>
      <c r="E123" s="394"/>
      <c r="F123" s="394"/>
      <c r="G123" s="394"/>
      <c r="H123" s="394"/>
      <c r="I123" s="394"/>
      <c r="J123" s="394"/>
      <c r="K123" s="394"/>
      <c r="L123" s="394"/>
      <c r="M123" s="394"/>
      <c r="N123" s="394"/>
      <c r="O123" s="394"/>
      <c r="P123" s="394"/>
      <c r="Q123" s="394"/>
      <c r="R123" s="394"/>
      <c r="S123" s="394"/>
      <c r="T123" s="394"/>
      <c r="U123" s="394"/>
      <c r="V123" s="109"/>
    </row>
    <row r="124" spans="1:27" ht="20.25" x14ac:dyDescent="0.3">
      <c r="A124" s="20"/>
      <c r="B124" s="41"/>
      <c r="C124" s="15"/>
      <c r="D124" s="15"/>
      <c r="E124" s="15"/>
      <c r="F124" s="15"/>
      <c r="G124" s="15"/>
      <c r="H124" s="15"/>
      <c r="I124" s="15"/>
      <c r="J124" s="49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7" ht="20.25" x14ac:dyDescent="0.3">
      <c r="A125" s="15"/>
      <c r="B125" s="41"/>
      <c r="C125" s="15"/>
      <c r="D125" s="15"/>
      <c r="E125" s="15"/>
      <c r="F125" s="15"/>
      <c r="G125" s="15"/>
      <c r="H125" s="15"/>
      <c r="I125" s="15"/>
      <c r="J125" s="49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7" ht="20.25" x14ac:dyDescent="0.3">
      <c r="A126" s="15"/>
      <c r="B126" s="41"/>
      <c r="C126" s="15"/>
      <c r="D126" s="15"/>
      <c r="E126" s="15"/>
      <c r="F126" s="15"/>
      <c r="G126" s="15"/>
      <c r="H126" s="15"/>
      <c r="I126" s="15"/>
      <c r="J126" s="49"/>
      <c r="K126" s="16"/>
      <c r="L126" s="16"/>
      <c r="M126" s="16"/>
      <c r="N126" s="16"/>
      <c r="O126" s="16"/>
      <c r="P126" s="16"/>
      <c r="Q126" s="139"/>
      <c r="R126" s="139"/>
      <c r="S126" s="139"/>
      <c r="T126" s="140"/>
      <c r="U126" s="140"/>
      <c r="V126" s="140"/>
      <c r="X126" s="294"/>
    </row>
    <row r="127" spans="1:27" ht="20.25" x14ac:dyDescent="0.3">
      <c r="A127" s="15"/>
      <c r="B127" s="41"/>
      <c r="C127" s="15"/>
      <c r="D127" s="15"/>
      <c r="E127" s="15"/>
      <c r="F127" s="15"/>
      <c r="G127" s="15"/>
      <c r="H127" s="15"/>
      <c r="I127" s="15"/>
      <c r="J127" s="49"/>
      <c r="K127" s="16"/>
      <c r="L127" s="16"/>
      <c r="M127" s="16"/>
      <c r="N127" s="16"/>
      <c r="O127" s="16"/>
      <c r="P127" s="16"/>
      <c r="Q127" s="141"/>
      <c r="R127" s="141"/>
      <c r="S127" s="141"/>
      <c r="T127" s="141"/>
      <c r="U127" s="141"/>
      <c r="V127" s="142"/>
      <c r="X127" s="294"/>
    </row>
    <row r="128" spans="1:27" ht="20.25" x14ac:dyDescent="0.3">
      <c r="A128" s="15"/>
      <c r="B128" s="41"/>
      <c r="C128" s="15"/>
      <c r="D128" s="15"/>
      <c r="E128" s="15"/>
      <c r="F128" s="15"/>
      <c r="G128" s="15"/>
      <c r="H128" s="15"/>
      <c r="I128" s="15"/>
      <c r="J128" s="49"/>
      <c r="K128" s="16"/>
      <c r="L128" s="16"/>
      <c r="M128" s="16"/>
      <c r="N128" s="16"/>
      <c r="O128" s="16"/>
      <c r="P128" s="16"/>
      <c r="Q128" s="141"/>
      <c r="R128" s="141"/>
      <c r="S128" s="141"/>
      <c r="T128" s="141"/>
      <c r="U128" s="141"/>
      <c r="V128" s="141"/>
      <c r="X128" s="294"/>
    </row>
    <row r="129" spans="1:24" ht="20.25" x14ac:dyDescent="0.3">
      <c r="A129" s="15"/>
      <c r="B129" s="41"/>
      <c r="C129" s="15"/>
      <c r="D129" s="15"/>
      <c r="E129" s="15"/>
      <c r="F129" s="15"/>
      <c r="G129" s="15"/>
      <c r="H129" s="15"/>
      <c r="I129" s="15"/>
      <c r="J129" s="49"/>
      <c r="K129" s="16"/>
      <c r="L129" s="16"/>
      <c r="M129" s="16"/>
      <c r="N129" s="16"/>
      <c r="O129" s="16"/>
      <c r="P129" s="16"/>
      <c r="Q129" s="139"/>
      <c r="R129" s="139"/>
      <c r="S129" s="139"/>
      <c r="T129" s="140"/>
      <c r="U129" s="140"/>
      <c r="V129" s="140"/>
      <c r="X129" s="294"/>
    </row>
    <row r="130" spans="1:24" ht="20.25" x14ac:dyDescent="0.3">
      <c r="A130" s="15"/>
      <c r="B130" s="41"/>
      <c r="C130" s="15"/>
      <c r="D130" s="15"/>
      <c r="E130" s="15"/>
      <c r="F130" s="15"/>
      <c r="G130" s="15"/>
      <c r="H130" s="15"/>
      <c r="I130" s="15"/>
      <c r="J130" s="49"/>
      <c r="K130" s="16"/>
      <c r="L130" s="16"/>
      <c r="M130" s="16"/>
      <c r="N130" s="16"/>
      <c r="O130" s="16"/>
      <c r="P130" s="16"/>
      <c r="Q130" s="141"/>
      <c r="R130" s="141"/>
      <c r="S130" s="141"/>
      <c r="T130" s="142"/>
      <c r="U130" s="142"/>
      <c r="V130" s="142"/>
      <c r="X130" s="294"/>
    </row>
    <row r="131" spans="1:24" ht="20.25" x14ac:dyDescent="0.3">
      <c r="A131" s="15"/>
      <c r="B131" s="41"/>
      <c r="C131" s="15"/>
      <c r="D131" s="15"/>
      <c r="E131" s="15"/>
      <c r="F131" s="15"/>
      <c r="G131" s="15"/>
      <c r="H131" s="15"/>
      <c r="I131" s="15"/>
      <c r="J131" s="49"/>
      <c r="K131" s="16"/>
      <c r="L131" s="16"/>
      <c r="M131" s="16"/>
      <c r="N131" s="16"/>
      <c r="O131" s="16"/>
      <c r="P131" s="16"/>
      <c r="Q131" s="141"/>
      <c r="R131" s="141"/>
      <c r="S131" s="141"/>
      <c r="T131" s="141"/>
      <c r="U131" s="141"/>
      <c r="V131" s="141"/>
      <c r="X131" s="294"/>
    </row>
    <row r="132" spans="1:24" ht="18" x14ac:dyDescent="0.25">
      <c r="A132" s="17"/>
      <c r="B132" s="42"/>
      <c r="C132" s="17"/>
      <c r="D132" s="17"/>
      <c r="E132" s="17"/>
      <c r="F132" s="17"/>
      <c r="G132" s="17"/>
      <c r="H132" s="17"/>
      <c r="I132" s="17"/>
      <c r="J132" s="50"/>
      <c r="Q132" s="139"/>
      <c r="R132" s="139"/>
      <c r="S132" s="139"/>
      <c r="T132" s="140"/>
      <c r="U132" s="140"/>
      <c r="V132" s="140"/>
      <c r="X132" s="294"/>
    </row>
    <row r="133" spans="1:24" ht="18" x14ac:dyDescent="0.25">
      <c r="A133" s="17"/>
      <c r="B133" s="42"/>
      <c r="C133" s="17"/>
      <c r="D133" s="17"/>
      <c r="E133" s="17"/>
      <c r="F133" s="17"/>
      <c r="G133" s="17"/>
      <c r="H133" s="17"/>
      <c r="I133" s="17"/>
      <c r="J133" s="50"/>
      <c r="Q133" s="141"/>
      <c r="R133" s="141"/>
      <c r="S133" s="141"/>
      <c r="T133" s="142"/>
      <c r="U133" s="142"/>
      <c r="V133" s="142"/>
      <c r="X133" s="294"/>
    </row>
    <row r="134" spans="1:24" x14ac:dyDescent="0.2">
      <c r="A134" s="17"/>
      <c r="B134" s="42"/>
      <c r="C134" s="17"/>
      <c r="D134" s="17"/>
      <c r="E134" s="17"/>
      <c r="F134" s="17"/>
      <c r="G134" s="17"/>
      <c r="H134" s="17"/>
      <c r="I134" s="17"/>
      <c r="J134" s="50"/>
    </row>
    <row r="135" spans="1:24" x14ac:dyDescent="0.2">
      <c r="A135" s="17"/>
      <c r="B135" s="42"/>
      <c r="C135" s="17"/>
      <c r="D135" s="17"/>
      <c r="E135" s="17"/>
      <c r="F135" s="17"/>
      <c r="G135" s="17"/>
      <c r="H135" s="17"/>
      <c r="I135" s="17"/>
      <c r="J135" s="50"/>
    </row>
    <row r="136" spans="1:24" x14ac:dyDescent="0.2">
      <c r="A136" s="17"/>
      <c r="B136" s="42"/>
      <c r="C136" s="17"/>
      <c r="D136" s="17"/>
      <c r="E136" s="17"/>
      <c r="F136" s="17"/>
      <c r="G136" s="17"/>
      <c r="H136" s="17"/>
      <c r="I136" s="17"/>
      <c r="J136" s="50"/>
    </row>
    <row r="137" spans="1:24" x14ac:dyDescent="0.2">
      <c r="A137" s="17"/>
      <c r="B137" s="42"/>
      <c r="C137" s="17"/>
      <c r="D137" s="17"/>
      <c r="E137" s="17"/>
      <c r="F137" s="17"/>
      <c r="G137" s="17"/>
      <c r="H137" s="17"/>
      <c r="I137" s="17"/>
      <c r="J137" s="50"/>
    </row>
    <row r="138" spans="1:24" x14ac:dyDescent="0.2">
      <c r="A138" s="17"/>
      <c r="B138" s="42"/>
      <c r="C138" s="17"/>
      <c r="D138" s="17"/>
      <c r="E138" s="17"/>
      <c r="F138" s="17"/>
      <c r="G138" s="17"/>
      <c r="H138" s="17"/>
      <c r="I138" s="17"/>
      <c r="J138" s="50"/>
    </row>
    <row r="145" spans="2:10" x14ac:dyDescent="0.2">
      <c r="B145"/>
      <c r="J145"/>
    </row>
    <row r="146" spans="2:10" x14ac:dyDescent="0.2">
      <c r="B146"/>
      <c r="J146"/>
    </row>
    <row r="147" spans="2:10" x14ac:dyDescent="0.2">
      <c r="B147"/>
      <c r="J147"/>
    </row>
    <row r="148" spans="2:10" x14ac:dyDescent="0.2">
      <c r="B148"/>
      <c r="J148"/>
    </row>
    <row r="149" spans="2:10" x14ac:dyDescent="0.2">
      <c r="B149"/>
      <c r="J149"/>
    </row>
    <row r="150" spans="2:10" x14ac:dyDescent="0.2">
      <c r="B150"/>
      <c r="J150"/>
    </row>
    <row r="151" spans="2:10" x14ac:dyDescent="0.2">
      <c r="B151"/>
      <c r="J151"/>
    </row>
    <row r="152" spans="2:10" x14ac:dyDescent="0.2">
      <c r="B152"/>
      <c r="J152"/>
    </row>
    <row r="153" spans="2:10" x14ac:dyDescent="0.2">
      <c r="B153"/>
      <c r="J153"/>
    </row>
    <row r="154" spans="2:10" x14ac:dyDescent="0.2">
      <c r="B154"/>
      <c r="J154"/>
    </row>
    <row r="155" spans="2:10" x14ac:dyDescent="0.2">
      <c r="B155"/>
      <c r="J155"/>
    </row>
    <row r="156" spans="2:10" x14ac:dyDescent="0.2">
      <c r="B156"/>
      <c r="J156"/>
    </row>
    <row r="157" spans="2:10" x14ac:dyDescent="0.2">
      <c r="B157"/>
      <c r="J157"/>
    </row>
    <row r="158" spans="2:10" x14ac:dyDescent="0.2">
      <c r="B158"/>
      <c r="J158"/>
    </row>
    <row r="159" spans="2:10" x14ac:dyDescent="0.2">
      <c r="B159"/>
      <c r="J159"/>
    </row>
    <row r="160" spans="2:10" x14ac:dyDescent="0.2">
      <c r="B160"/>
      <c r="J160"/>
    </row>
    <row r="161" spans="2:10" x14ac:dyDescent="0.2">
      <c r="B161"/>
      <c r="J161"/>
    </row>
    <row r="162" spans="2:10" x14ac:dyDescent="0.2">
      <c r="B162"/>
      <c r="J162"/>
    </row>
    <row r="163" spans="2:10" x14ac:dyDescent="0.2">
      <c r="B163"/>
      <c r="J163"/>
    </row>
    <row r="164" spans="2:10" x14ac:dyDescent="0.2">
      <c r="B164"/>
      <c r="J164"/>
    </row>
    <row r="165" spans="2:10" x14ac:dyDescent="0.2">
      <c r="B165"/>
      <c r="J165"/>
    </row>
    <row r="166" spans="2:10" x14ac:dyDescent="0.2">
      <c r="B166"/>
      <c r="J166"/>
    </row>
    <row r="167" spans="2:10" x14ac:dyDescent="0.2">
      <c r="B167"/>
      <c r="J167"/>
    </row>
    <row r="168" spans="2:10" x14ac:dyDescent="0.2">
      <c r="B168"/>
      <c r="J168"/>
    </row>
    <row r="169" spans="2:10" x14ac:dyDescent="0.2">
      <c r="B169"/>
      <c r="J169"/>
    </row>
    <row r="170" spans="2:10" x14ac:dyDescent="0.2">
      <c r="B170"/>
      <c r="J170"/>
    </row>
    <row r="171" spans="2:10" x14ac:dyDescent="0.2">
      <c r="B171"/>
      <c r="J171"/>
    </row>
    <row r="172" spans="2:10" x14ac:dyDescent="0.2">
      <c r="B172"/>
      <c r="J172"/>
    </row>
    <row r="173" spans="2:10" x14ac:dyDescent="0.2">
      <c r="B173"/>
      <c r="J173"/>
    </row>
    <row r="174" spans="2:10" x14ac:dyDescent="0.2">
      <c r="B174"/>
      <c r="J174"/>
    </row>
    <row r="175" spans="2:10" x14ac:dyDescent="0.2">
      <c r="B175"/>
      <c r="J175"/>
    </row>
    <row r="176" spans="2:10" x14ac:dyDescent="0.2">
      <c r="B176"/>
      <c r="J176"/>
    </row>
    <row r="177" spans="2:10" x14ac:dyDescent="0.2">
      <c r="B177"/>
      <c r="J177"/>
    </row>
    <row r="178" spans="2:10" x14ac:dyDescent="0.2">
      <c r="B178"/>
      <c r="J178"/>
    </row>
    <row r="179" spans="2:10" x14ac:dyDescent="0.2">
      <c r="B179"/>
      <c r="J179"/>
    </row>
    <row r="180" spans="2:10" x14ac:dyDescent="0.2">
      <c r="B180"/>
      <c r="J180"/>
    </row>
    <row r="181" spans="2:10" x14ac:dyDescent="0.2">
      <c r="B181"/>
      <c r="J181"/>
    </row>
    <row r="182" spans="2:10" x14ac:dyDescent="0.2">
      <c r="B182"/>
      <c r="J182"/>
    </row>
    <row r="183" spans="2:10" x14ac:dyDescent="0.2">
      <c r="B183"/>
      <c r="J183"/>
    </row>
    <row r="184" spans="2:10" x14ac:dyDescent="0.2">
      <c r="B184"/>
      <c r="J184"/>
    </row>
    <row r="185" spans="2:10" x14ac:dyDescent="0.2">
      <c r="B185"/>
      <c r="J185"/>
    </row>
    <row r="186" spans="2:10" x14ac:dyDescent="0.2">
      <c r="B186"/>
      <c r="J186"/>
    </row>
    <row r="187" spans="2:10" x14ac:dyDescent="0.2">
      <c r="B187"/>
      <c r="J187"/>
    </row>
    <row r="188" spans="2:10" x14ac:dyDescent="0.2">
      <c r="B188"/>
      <c r="J188"/>
    </row>
    <row r="189" spans="2:10" x14ac:dyDescent="0.2">
      <c r="B189"/>
      <c r="J189"/>
    </row>
    <row r="190" spans="2:10" x14ac:dyDescent="0.2">
      <c r="B190"/>
      <c r="J190"/>
    </row>
    <row r="191" spans="2:10" x14ac:dyDescent="0.2">
      <c r="B191"/>
      <c r="J191"/>
    </row>
    <row r="192" spans="2:10" x14ac:dyDescent="0.2">
      <c r="B192"/>
      <c r="J192"/>
    </row>
    <row r="193" spans="2:10" x14ac:dyDescent="0.2">
      <c r="B193"/>
      <c r="J193"/>
    </row>
    <row r="194" spans="2:10" x14ac:dyDescent="0.2">
      <c r="B194"/>
      <c r="J194"/>
    </row>
    <row r="195" spans="2:10" x14ac:dyDescent="0.2">
      <c r="B195"/>
      <c r="J195"/>
    </row>
    <row r="196" spans="2:10" x14ac:dyDescent="0.2">
      <c r="B196"/>
      <c r="J196"/>
    </row>
    <row r="197" spans="2:10" x14ac:dyDescent="0.2">
      <c r="B197"/>
      <c r="J197"/>
    </row>
    <row r="198" spans="2:10" x14ac:dyDescent="0.2">
      <c r="B198"/>
      <c r="J198"/>
    </row>
    <row r="199" spans="2:10" x14ac:dyDescent="0.2">
      <c r="B199"/>
      <c r="J199"/>
    </row>
    <row r="200" spans="2:10" x14ac:dyDescent="0.2">
      <c r="B200"/>
      <c r="J200"/>
    </row>
    <row r="201" spans="2:10" x14ac:dyDescent="0.2">
      <c r="B201"/>
      <c r="J201"/>
    </row>
    <row r="202" spans="2:10" x14ac:dyDescent="0.2">
      <c r="B202"/>
      <c r="J202"/>
    </row>
    <row r="203" spans="2:10" x14ac:dyDescent="0.2">
      <c r="B203"/>
      <c r="J203"/>
    </row>
    <row r="204" spans="2:10" x14ac:dyDescent="0.2">
      <c r="B204"/>
      <c r="J204"/>
    </row>
    <row r="205" spans="2:10" x14ac:dyDescent="0.2">
      <c r="B205"/>
      <c r="J205"/>
    </row>
    <row r="206" spans="2:10" x14ac:dyDescent="0.2">
      <c r="B206"/>
      <c r="J206"/>
    </row>
    <row r="207" spans="2:10" x14ac:dyDescent="0.2">
      <c r="B207"/>
      <c r="J207"/>
    </row>
    <row r="208" spans="2:10" x14ac:dyDescent="0.2">
      <c r="B208"/>
      <c r="J208"/>
    </row>
    <row r="209" spans="2:10" x14ac:dyDescent="0.2">
      <c r="B209"/>
      <c r="J209"/>
    </row>
    <row r="210" spans="2:10" x14ac:dyDescent="0.2">
      <c r="B210"/>
      <c r="J210"/>
    </row>
    <row r="211" spans="2:10" x14ac:dyDescent="0.2">
      <c r="B211"/>
      <c r="J211"/>
    </row>
    <row r="212" spans="2:10" x14ac:dyDescent="0.2">
      <c r="B212"/>
      <c r="J212"/>
    </row>
    <row r="213" spans="2:10" x14ac:dyDescent="0.2">
      <c r="B213"/>
      <c r="J213"/>
    </row>
    <row r="214" spans="2:10" x14ac:dyDescent="0.2">
      <c r="B214"/>
      <c r="J214"/>
    </row>
    <row r="215" spans="2:10" x14ac:dyDescent="0.2">
      <c r="B215"/>
      <c r="J215"/>
    </row>
    <row r="216" spans="2:10" x14ac:dyDescent="0.2">
      <c r="B216"/>
      <c r="J216"/>
    </row>
    <row r="217" spans="2:10" x14ac:dyDescent="0.2">
      <c r="B217"/>
      <c r="J217"/>
    </row>
    <row r="218" spans="2:10" x14ac:dyDescent="0.2">
      <c r="B218"/>
      <c r="J218"/>
    </row>
    <row r="219" spans="2:10" x14ac:dyDescent="0.2">
      <c r="B219"/>
      <c r="J219"/>
    </row>
    <row r="220" spans="2:10" x14ac:dyDescent="0.2">
      <c r="B220"/>
      <c r="J220"/>
    </row>
    <row r="221" spans="2:10" x14ac:dyDescent="0.2">
      <c r="B221"/>
      <c r="J221"/>
    </row>
    <row r="222" spans="2:10" x14ac:dyDescent="0.2">
      <c r="B222"/>
      <c r="J222"/>
    </row>
    <row r="223" spans="2:10" x14ac:dyDescent="0.2">
      <c r="B223"/>
      <c r="J223"/>
    </row>
    <row r="224" spans="2:10" x14ac:dyDescent="0.2">
      <c r="B224"/>
      <c r="J224"/>
    </row>
    <row r="225" spans="2:10" x14ac:dyDescent="0.2">
      <c r="B225"/>
      <c r="J225"/>
    </row>
    <row r="226" spans="2:10" x14ac:dyDescent="0.2">
      <c r="B226"/>
      <c r="J226"/>
    </row>
    <row r="227" spans="2:10" x14ac:dyDescent="0.2">
      <c r="B227"/>
      <c r="J227"/>
    </row>
    <row r="228" spans="2:10" x14ac:dyDescent="0.2">
      <c r="B228"/>
      <c r="J228"/>
    </row>
    <row r="229" spans="2:10" x14ac:dyDescent="0.2">
      <c r="B229"/>
      <c r="J229"/>
    </row>
    <row r="230" spans="2:10" x14ac:dyDescent="0.2">
      <c r="B230"/>
      <c r="J230"/>
    </row>
    <row r="231" spans="2:10" x14ac:dyDescent="0.2">
      <c r="B231"/>
      <c r="J231"/>
    </row>
    <row r="232" spans="2:10" x14ac:dyDescent="0.2">
      <c r="B232"/>
      <c r="J232"/>
    </row>
    <row r="233" spans="2:10" x14ac:dyDescent="0.2">
      <c r="B233"/>
      <c r="J233"/>
    </row>
    <row r="234" spans="2:10" x14ac:dyDescent="0.2">
      <c r="B234"/>
      <c r="J234"/>
    </row>
    <row r="235" spans="2:10" x14ac:dyDescent="0.2">
      <c r="B235"/>
      <c r="J235"/>
    </row>
    <row r="236" spans="2:10" x14ac:dyDescent="0.2">
      <c r="B236"/>
      <c r="J236"/>
    </row>
    <row r="237" spans="2:10" x14ac:dyDescent="0.2">
      <c r="B237"/>
      <c r="J237"/>
    </row>
    <row r="238" spans="2:10" x14ac:dyDescent="0.2">
      <c r="B238"/>
      <c r="J238"/>
    </row>
    <row r="239" spans="2:10" x14ac:dyDescent="0.2">
      <c r="B239"/>
      <c r="J239"/>
    </row>
    <row r="240" spans="2:10" x14ac:dyDescent="0.2">
      <c r="B240"/>
      <c r="J240"/>
    </row>
    <row r="241" spans="2:10" x14ac:dyDescent="0.2">
      <c r="B241"/>
      <c r="J241"/>
    </row>
    <row r="242" spans="2:10" x14ac:dyDescent="0.2">
      <c r="B242"/>
      <c r="J242"/>
    </row>
    <row r="243" spans="2:10" x14ac:dyDescent="0.2">
      <c r="B243"/>
      <c r="J243"/>
    </row>
    <row r="244" spans="2:10" x14ac:dyDescent="0.2">
      <c r="B244"/>
      <c r="J244"/>
    </row>
    <row r="245" spans="2:10" x14ac:dyDescent="0.2">
      <c r="B245"/>
      <c r="J245"/>
    </row>
    <row r="246" spans="2:10" x14ac:dyDescent="0.2">
      <c r="B246"/>
      <c r="J246"/>
    </row>
    <row r="247" spans="2:10" x14ac:dyDescent="0.2">
      <c r="B247"/>
      <c r="J247"/>
    </row>
    <row r="248" spans="2:10" x14ac:dyDescent="0.2">
      <c r="B248"/>
      <c r="J248"/>
    </row>
    <row r="249" spans="2:10" x14ac:dyDescent="0.2">
      <c r="B249"/>
      <c r="J249"/>
    </row>
    <row r="250" spans="2:10" x14ac:dyDescent="0.2">
      <c r="B250"/>
      <c r="J250"/>
    </row>
    <row r="251" spans="2:10" x14ac:dyDescent="0.2">
      <c r="B251"/>
      <c r="J251"/>
    </row>
    <row r="252" spans="2:10" x14ac:dyDescent="0.2">
      <c r="B252"/>
      <c r="J252"/>
    </row>
    <row r="253" spans="2:10" x14ac:dyDescent="0.2">
      <c r="B253"/>
      <c r="J253"/>
    </row>
    <row r="254" spans="2:10" x14ac:dyDescent="0.2">
      <c r="B254"/>
      <c r="J254"/>
    </row>
    <row r="255" spans="2:10" x14ac:dyDescent="0.2">
      <c r="B255"/>
      <c r="J255"/>
    </row>
    <row r="256" spans="2:10" x14ac:dyDescent="0.2">
      <c r="B256"/>
      <c r="J256"/>
    </row>
    <row r="257" spans="2:10" x14ac:dyDescent="0.2">
      <c r="B257"/>
      <c r="J257"/>
    </row>
    <row r="258" spans="2:10" x14ac:dyDescent="0.2">
      <c r="B258"/>
      <c r="J258"/>
    </row>
    <row r="259" spans="2:10" x14ac:dyDescent="0.2">
      <c r="B259"/>
      <c r="J259"/>
    </row>
    <row r="260" spans="2:10" x14ac:dyDescent="0.2">
      <c r="B260"/>
      <c r="J260"/>
    </row>
    <row r="261" spans="2:10" x14ac:dyDescent="0.2">
      <c r="B261"/>
      <c r="J261"/>
    </row>
    <row r="262" spans="2:10" x14ac:dyDescent="0.2">
      <c r="B262"/>
      <c r="J262"/>
    </row>
    <row r="263" spans="2:10" x14ac:dyDescent="0.2">
      <c r="B263"/>
      <c r="J263"/>
    </row>
    <row r="264" spans="2:10" x14ac:dyDescent="0.2">
      <c r="B264"/>
      <c r="J264"/>
    </row>
    <row r="265" spans="2:10" x14ac:dyDescent="0.2">
      <c r="B265"/>
      <c r="J265"/>
    </row>
    <row r="266" spans="2:10" x14ac:dyDescent="0.2">
      <c r="B266"/>
      <c r="J266"/>
    </row>
    <row r="267" spans="2:10" x14ac:dyDescent="0.2">
      <c r="B267"/>
      <c r="J267"/>
    </row>
    <row r="268" spans="2:10" x14ac:dyDescent="0.2">
      <c r="B268"/>
      <c r="J268"/>
    </row>
    <row r="269" spans="2:10" x14ac:dyDescent="0.2">
      <c r="B269"/>
      <c r="J269"/>
    </row>
    <row r="270" spans="2:10" x14ac:dyDescent="0.2">
      <c r="B270"/>
      <c r="J270"/>
    </row>
    <row r="271" spans="2:10" x14ac:dyDescent="0.2">
      <c r="B271"/>
      <c r="J271"/>
    </row>
    <row r="272" spans="2:10" x14ac:dyDescent="0.2">
      <c r="B272"/>
      <c r="J272"/>
    </row>
    <row r="273" spans="2:10" x14ac:dyDescent="0.2">
      <c r="B273"/>
      <c r="J273"/>
    </row>
    <row r="274" spans="2:10" x14ac:dyDescent="0.2">
      <c r="B274"/>
      <c r="J274"/>
    </row>
    <row r="275" spans="2:10" x14ac:dyDescent="0.2">
      <c r="B275"/>
      <c r="J275"/>
    </row>
    <row r="276" spans="2:10" x14ac:dyDescent="0.2">
      <c r="B276"/>
      <c r="J276"/>
    </row>
    <row r="277" spans="2:10" x14ac:dyDescent="0.2">
      <c r="B277"/>
      <c r="J277"/>
    </row>
    <row r="278" spans="2:10" x14ac:dyDescent="0.2">
      <c r="B278"/>
      <c r="J278"/>
    </row>
    <row r="279" spans="2:10" x14ac:dyDescent="0.2">
      <c r="B279"/>
      <c r="J279"/>
    </row>
    <row r="280" spans="2:10" x14ac:dyDescent="0.2">
      <c r="B280"/>
      <c r="J280"/>
    </row>
    <row r="281" spans="2:10" x14ac:dyDescent="0.2">
      <c r="B281"/>
      <c r="J281"/>
    </row>
    <row r="282" spans="2:10" x14ac:dyDescent="0.2">
      <c r="B282"/>
      <c r="J282"/>
    </row>
    <row r="283" spans="2:10" x14ac:dyDescent="0.2">
      <c r="B283"/>
      <c r="J283"/>
    </row>
    <row r="284" spans="2:10" x14ac:dyDescent="0.2">
      <c r="B284"/>
      <c r="J284"/>
    </row>
    <row r="285" spans="2:10" x14ac:dyDescent="0.2">
      <c r="B285"/>
      <c r="J285"/>
    </row>
    <row r="286" spans="2:10" x14ac:dyDescent="0.2">
      <c r="B286"/>
      <c r="J286"/>
    </row>
    <row r="287" spans="2:10" x14ac:dyDescent="0.2">
      <c r="B287"/>
      <c r="J287"/>
    </row>
    <row r="288" spans="2:10" x14ac:dyDescent="0.2">
      <c r="B288"/>
      <c r="J288"/>
    </row>
    <row r="289" spans="2:10" x14ac:dyDescent="0.2">
      <c r="B289"/>
      <c r="J289"/>
    </row>
    <row r="290" spans="2:10" x14ac:dyDescent="0.2">
      <c r="B290"/>
      <c r="J290"/>
    </row>
    <row r="291" spans="2:10" x14ac:dyDescent="0.2">
      <c r="B291"/>
      <c r="J291"/>
    </row>
    <row r="292" spans="2:10" x14ac:dyDescent="0.2">
      <c r="B292"/>
      <c r="J292"/>
    </row>
    <row r="293" spans="2:10" x14ac:dyDescent="0.2">
      <c r="B293"/>
      <c r="J293"/>
    </row>
    <row r="294" spans="2:10" x14ac:dyDescent="0.2">
      <c r="B294"/>
      <c r="J294"/>
    </row>
    <row r="295" spans="2:10" x14ac:dyDescent="0.2">
      <c r="B295"/>
      <c r="J295"/>
    </row>
    <row r="296" spans="2:10" x14ac:dyDescent="0.2">
      <c r="B296"/>
      <c r="J296"/>
    </row>
    <row r="297" spans="2:10" x14ac:dyDescent="0.2">
      <c r="B297"/>
      <c r="J297"/>
    </row>
    <row r="298" spans="2:10" x14ac:dyDescent="0.2">
      <c r="B298"/>
      <c r="J298"/>
    </row>
    <row r="299" spans="2:10" x14ac:dyDescent="0.2">
      <c r="B299"/>
      <c r="J299"/>
    </row>
    <row r="300" spans="2:10" x14ac:dyDescent="0.2">
      <c r="B300"/>
      <c r="J300"/>
    </row>
    <row r="301" spans="2:10" x14ac:dyDescent="0.2">
      <c r="B301"/>
      <c r="J301"/>
    </row>
    <row r="302" spans="2:10" x14ac:dyDescent="0.2">
      <c r="B302"/>
      <c r="J302"/>
    </row>
    <row r="303" spans="2:10" x14ac:dyDescent="0.2">
      <c r="B303"/>
      <c r="J303"/>
    </row>
    <row r="304" spans="2:10" x14ac:dyDescent="0.2">
      <c r="B304"/>
      <c r="J304"/>
    </row>
    <row r="305" spans="2:10" x14ac:dyDescent="0.2">
      <c r="B305"/>
      <c r="J305"/>
    </row>
    <row r="306" spans="2:10" x14ac:dyDescent="0.2">
      <c r="B306"/>
      <c r="J306"/>
    </row>
    <row r="307" spans="2:10" x14ac:dyDescent="0.2">
      <c r="B307"/>
      <c r="J307"/>
    </row>
    <row r="308" spans="2:10" x14ac:dyDescent="0.2">
      <c r="B308"/>
      <c r="J308"/>
    </row>
    <row r="309" spans="2:10" x14ac:dyDescent="0.2">
      <c r="B309"/>
      <c r="J309"/>
    </row>
    <row r="310" spans="2:10" x14ac:dyDescent="0.2">
      <c r="B310"/>
      <c r="J310"/>
    </row>
    <row r="311" spans="2:10" x14ac:dyDescent="0.2">
      <c r="B311"/>
      <c r="J311"/>
    </row>
    <row r="312" spans="2:10" x14ac:dyDescent="0.2">
      <c r="B312"/>
      <c r="J312"/>
    </row>
    <row r="313" spans="2:10" x14ac:dyDescent="0.2">
      <c r="B313"/>
      <c r="J313"/>
    </row>
    <row r="314" spans="2:10" x14ac:dyDescent="0.2">
      <c r="B314"/>
      <c r="J314"/>
    </row>
    <row r="315" spans="2:10" x14ac:dyDescent="0.2">
      <c r="B315"/>
      <c r="J315"/>
    </row>
    <row r="316" spans="2:10" x14ac:dyDescent="0.2">
      <c r="B316"/>
      <c r="J316"/>
    </row>
    <row r="317" spans="2:10" x14ac:dyDescent="0.2">
      <c r="B317"/>
      <c r="J317"/>
    </row>
    <row r="318" spans="2:10" x14ac:dyDescent="0.2">
      <c r="B318"/>
      <c r="J318"/>
    </row>
    <row r="319" spans="2:10" x14ac:dyDescent="0.2">
      <c r="B319"/>
      <c r="J319"/>
    </row>
    <row r="320" spans="2:10" x14ac:dyDescent="0.2">
      <c r="B320"/>
      <c r="J320"/>
    </row>
    <row r="321" spans="2:10" x14ac:dyDescent="0.2">
      <c r="B321"/>
      <c r="J321"/>
    </row>
    <row r="322" spans="2:10" x14ac:dyDescent="0.2">
      <c r="B322"/>
      <c r="J322"/>
    </row>
    <row r="323" spans="2:10" x14ac:dyDescent="0.2">
      <c r="B323"/>
      <c r="J323"/>
    </row>
    <row r="324" spans="2:10" x14ac:dyDescent="0.2">
      <c r="B324"/>
      <c r="J324"/>
    </row>
    <row r="325" spans="2:10" x14ac:dyDescent="0.2">
      <c r="B325"/>
      <c r="J325"/>
    </row>
    <row r="326" spans="2:10" x14ac:dyDescent="0.2">
      <c r="B326"/>
      <c r="J326"/>
    </row>
    <row r="327" spans="2:10" x14ac:dyDescent="0.2">
      <c r="B327"/>
      <c r="J327"/>
    </row>
    <row r="328" spans="2:10" x14ac:dyDescent="0.2">
      <c r="B328"/>
      <c r="J328"/>
    </row>
    <row r="329" spans="2:10" x14ac:dyDescent="0.2">
      <c r="B329"/>
      <c r="J329"/>
    </row>
    <row r="330" spans="2:10" x14ac:dyDescent="0.2">
      <c r="B330"/>
      <c r="J330"/>
    </row>
    <row r="331" spans="2:10" x14ac:dyDescent="0.2">
      <c r="B331"/>
      <c r="J331"/>
    </row>
    <row r="332" spans="2:10" x14ac:dyDescent="0.2">
      <c r="B332"/>
      <c r="J332"/>
    </row>
    <row r="333" spans="2:10" x14ac:dyDescent="0.2">
      <c r="B333"/>
      <c r="J333"/>
    </row>
    <row r="334" spans="2:10" x14ac:dyDescent="0.2">
      <c r="B334"/>
      <c r="J334"/>
    </row>
    <row r="335" spans="2:10" x14ac:dyDescent="0.2">
      <c r="B335"/>
      <c r="J335"/>
    </row>
    <row r="336" spans="2:10" x14ac:dyDescent="0.2">
      <c r="B336"/>
      <c r="J336"/>
    </row>
    <row r="337" spans="2:10" x14ac:dyDescent="0.2">
      <c r="B337"/>
      <c r="J337"/>
    </row>
  </sheetData>
  <mergeCells count="15">
    <mergeCell ref="A121:J121"/>
    <mergeCell ref="A123:U123"/>
    <mergeCell ref="A5:A6"/>
    <mergeCell ref="A8:V8"/>
    <mergeCell ref="A9:V9"/>
    <mergeCell ref="A21:V21"/>
    <mergeCell ref="A104:V104"/>
    <mergeCell ref="A112:V112"/>
    <mergeCell ref="O1:V1"/>
    <mergeCell ref="A2:U2"/>
    <mergeCell ref="A3:U3"/>
    <mergeCell ref="B5:I5"/>
    <mergeCell ref="J5:J6"/>
    <mergeCell ref="K5:Q5"/>
    <mergeCell ref="R5:V5"/>
  </mergeCells>
  <phoneticPr fontId="14" type="noConversion"/>
  <printOptions horizontalCentered="1"/>
  <pageMargins left="0.19685039370078741" right="0.19685039370078741" top="0.39370078740157483" bottom="0.39370078740157483" header="0" footer="0"/>
  <pageSetup paperSize="9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tabColor indexed="50"/>
  </sheetPr>
  <dimension ref="A1:BC39"/>
  <sheetViews>
    <sheetView view="pageBreakPreview" zoomScale="78" zoomScaleNormal="75" zoomScaleSheetLayoutView="78" workbookViewId="0">
      <pane xSplit="1" topLeftCell="O1" activePane="topRight" state="frozen"/>
      <selection pane="topRight" activeCell="M8" sqref="M8:M15"/>
    </sheetView>
  </sheetViews>
  <sheetFormatPr defaultRowHeight="12.75" x14ac:dyDescent="0.2"/>
  <cols>
    <col min="1" max="1" width="27.85546875" customWidth="1"/>
    <col min="2" max="2" width="9.42578125" customWidth="1"/>
    <col min="3" max="3" width="10.85546875" bestFit="1" customWidth="1"/>
    <col min="4" max="4" width="10.42578125" customWidth="1"/>
    <col min="5" max="5" width="17" bestFit="1" customWidth="1"/>
    <col min="6" max="6" width="15.42578125" bestFit="1" customWidth="1"/>
    <col min="7" max="7" width="17" bestFit="1" customWidth="1"/>
    <col min="8" max="8" width="12.5703125" customWidth="1"/>
    <col min="9" max="9" width="12.140625" bestFit="1" customWidth="1"/>
    <col min="10" max="10" width="10.5703125" customWidth="1"/>
    <col min="11" max="11" width="14.28515625" customWidth="1"/>
    <col min="12" max="12" width="10.7109375" bestFit="1" customWidth="1"/>
    <col min="13" max="13" width="10.85546875" bestFit="1" customWidth="1"/>
    <col min="14" max="14" width="16.85546875" bestFit="1" customWidth="1"/>
    <col min="15" max="15" width="11.140625" customWidth="1"/>
    <col min="16" max="16" width="14.140625" customWidth="1"/>
    <col min="17" max="18" width="11" bestFit="1" customWidth="1"/>
    <col min="19" max="19" width="12.28515625" customWidth="1"/>
    <col min="20" max="20" width="11.7109375" customWidth="1"/>
    <col min="21" max="21" width="11.5703125" customWidth="1"/>
    <col min="22" max="22" width="11.7109375" customWidth="1"/>
    <col min="23" max="23" width="11.5703125" customWidth="1"/>
    <col min="24" max="26" width="10.28515625" customWidth="1"/>
    <col min="27" max="27" width="11.42578125" customWidth="1"/>
    <col min="28" max="28" width="12.28515625" customWidth="1"/>
    <col min="29" max="31" width="10.28515625" customWidth="1"/>
    <col min="32" max="33" width="11.140625" customWidth="1"/>
    <col min="34" max="34" width="28.5703125" customWidth="1"/>
    <col min="35" max="35" width="20.28515625" customWidth="1"/>
    <col min="36" max="36" width="17.42578125" customWidth="1"/>
    <col min="37" max="37" width="12.140625" customWidth="1"/>
    <col min="38" max="38" width="12.42578125" customWidth="1"/>
    <col min="39" max="39" width="12" customWidth="1"/>
    <col min="40" max="40" width="11.5703125" customWidth="1"/>
    <col min="41" max="41" width="12.140625" customWidth="1"/>
    <col min="42" max="42" width="12.85546875" customWidth="1"/>
    <col min="43" max="43" width="10" customWidth="1"/>
    <col min="44" max="44" width="9.85546875" customWidth="1"/>
    <col min="45" max="46" width="10.42578125" customWidth="1"/>
    <col min="47" max="47" width="10" customWidth="1"/>
    <col min="48" max="49" width="11.140625" customWidth="1"/>
    <col min="50" max="50" width="18.7109375" customWidth="1"/>
    <col min="51" max="51" width="16.140625" customWidth="1"/>
    <col min="52" max="52" width="16.42578125" customWidth="1"/>
    <col min="53" max="53" width="19.28515625" customWidth="1"/>
    <col min="54" max="54" width="16.7109375" customWidth="1"/>
    <col min="55" max="55" width="15.85546875" customWidth="1"/>
  </cols>
  <sheetData>
    <row r="1" spans="1:55" ht="29.45" customHeight="1" x14ac:dyDescent="0.3">
      <c r="A1" s="31"/>
      <c r="B1" s="31"/>
      <c r="C1" s="31"/>
      <c r="D1" s="31"/>
      <c r="E1" s="413"/>
      <c r="F1" s="413"/>
      <c r="G1" s="413"/>
      <c r="S1" s="420" t="s">
        <v>452</v>
      </c>
      <c r="T1" s="420"/>
      <c r="U1" s="420"/>
      <c r="V1" s="420"/>
      <c r="W1" s="420"/>
      <c r="X1" s="420"/>
      <c r="Y1" s="420"/>
      <c r="Z1" s="420"/>
      <c r="AA1" s="420"/>
      <c r="AB1" s="420"/>
      <c r="AC1" s="420"/>
      <c r="AD1" s="420"/>
      <c r="AE1" s="420"/>
      <c r="AF1" s="420"/>
      <c r="AG1" s="420"/>
      <c r="AH1" s="420"/>
      <c r="AI1" s="420"/>
      <c r="AY1" s="420"/>
      <c r="AZ1" s="420"/>
      <c r="BA1" s="420"/>
      <c r="BB1" s="420"/>
      <c r="BC1" s="420"/>
    </row>
    <row r="2" spans="1:55" ht="42.75" customHeight="1" x14ac:dyDescent="0.2">
      <c r="A2" s="416" t="s">
        <v>439</v>
      </c>
      <c r="B2" s="416"/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O2" s="416"/>
      <c r="P2" s="416"/>
      <c r="Q2" s="416"/>
      <c r="R2" s="416"/>
      <c r="S2" s="416"/>
      <c r="T2" s="416"/>
      <c r="U2" s="416"/>
      <c r="V2" s="416"/>
      <c r="W2" s="416"/>
      <c r="X2" s="416"/>
      <c r="Y2" s="416"/>
      <c r="Z2" s="416"/>
      <c r="AA2" s="416"/>
      <c r="AB2" s="416"/>
      <c r="AC2" s="416"/>
      <c r="AD2" s="416"/>
      <c r="AE2" s="416"/>
      <c r="AF2" s="416"/>
      <c r="AG2" s="416"/>
      <c r="AH2" s="416"/>
      <c r="AI2" s="416"/>
      <c r="AJ2" s="97"/>
      <c r="AK2" s="97"/>
      <c r="AL2" s="97"/>
      <c r="AM2" s="97"/>
      <c r="AN2" s="97"/>
      <c r="AO2" s="97"/>
      <c r="AP2" s="97"/>
      <c r="AQ2" s="97"/>
      <c r="AR2" s="369"/>
      <c r="AS2" s="370"/>
      <c r="AT2" s="371"/>
      <c r="AU2" s="371"/>
      <c r="AV2" s="371"/>
      <c r="AW2" s="370"/>
      <c r="AX2" s="196"/>
      <c r="AY2" s="96"/>
      <c r="AZ2" s="96"/>
      <c r="BA2" s="96"/>
      <c r="BB2" s="96"/>
      <c r="BC2" s="96"/>
    </row>
    <row r="3" spans="1:55" ht="18.75" x14ac:dyDescent="0.3">
      <c r="A3" s="31"/>
      <c r="B3" s="31"/>
      <c r="C3" s="31"/>
      <c r="D3" s="31"/>
      <c r="E3" s="31"/>
      <c r="F3" s="31"/>
      <c r="G3" s="31"/>
      <c r="AR3" s="115"/>
      <c r="AS3" s="115"/>
      <c r="AT3" s="115"/>
      <c r="AU3" s="115"/>
      <c r="AV3" s="115"/>
      <c r="AW3" s="115"/>
      <c r="AX3" s="372"/>
      <c r="AY3" s="95"/>
      <c r="AZ3" s="95"/>
      <c r="BA3" s="95"/>
      <c r="BB3" s="95"/>
      <c r="BC3" s="95"/>
    </row>
    <row r="4" spans="1:55" ht="58.15" customHeight="1" x14ac:dyDescent="0.2">
      <c r="A4" s="404" t="s">
        <v>94</v>
      </c>
      <c r="B4" s="405" t="s">
        <v>97</v>
      </c>
      <c r="C4" s="414"/>
      <c r="D4" s="414"/>
      <c r="E4" s="414"/>
      <c r="F4" s="414"/>
      <c r="G4" s="406"/>
      <c r="H4" s="405" t="s">
        <v>95</v>
      </c>
      <c r="I4" s="414"/>
      <c r="J4" s="414"/>
      <c r="K4" s="414"/>
      <c r="L4" s="414"/>
      <c r="M4" s="406"/>
      <c r="N4" s="405" t="s">
        <v>96</v>
      </c>
      <c r="O4" s="414"/>
      <c r="P4" s="414"/>
      <c r="Q4" s="414"/>
      <c r="R4" s="414"/>
      <c r="S4" s="406"/>
      <c r="T4" s="405" t="s">
        <v>412</v>
      </c>
      <c r="U4" s="414"/>
      <c r="V4" s="414"/>
      <c r="W4" s="414"/>
      <c r="X4" s="414"/>
      <c r="Y4" s="406"/>
      <c r="Z4" s="405" t="s">
        <v>413</v>
      </c>
      <c r="AA4" s="414"/>
      <c r="AB4" s="414"/>
      <c r="AC4" s="414"/>
      <c r="AD4" s="414"/>
      <c r="AE4" s="406"/>
      <c r="AF4" s="405" t="s">
        <v>110</v>
      </c>
      <c r="AG4" s="406"/>
      <c r="AH4" s="405" t="s">
        <v>133</v>
      </c>
      <c r="AI4" s="406"/>
      <c r="AJ4" s="409" t="s">
        <v>119</v>
      </c>
      <c r="AK4" s="411" t="s">
        <v>120</v>
      </c>
      <c r="AL4" s="418"/>
      <c r="AM4" s="418"/>
      <c r="AN4" s="418"/>
      <c r="AO4" s="418"/>
      <c r="AP4" s="418"/>
      <c r="AQ4" s="412"/>
      <c r="AR4" s="404" t="s">
        <v>111</v>
      </c>
      <c r="AS4" s="404"/>
      <c r="AT4" s="404"/>
      <c r="AU4" s="404"/>
      <c r="AV4" s="404"/>
      <c r="AW4" s="404"/>
      <c r="AX4" s="404" t="s">
        <v>121</v>
      </c>
      <c r="AY4" s="411" t="s">
        <v>120</v>
      </c>
      <c r="AZ4" s="418"/>
      <c r="BA4" s="418"/>
      <c r="BB4" s="418"/>
      <c r="BC4" s="412"/>
    </row>
    <row r="5" spans="1:55" ht="118.5" customHeight="1" x14ac:dyDescent="0.2">
      <c r="A5" s="404"/>
      <c r="B5" s="407"/>
      <c r="C5" s="415"/>
      <c r="D5" s="415"/>
      <c r="E5" s="415"/>
      <c r="F5" s="415"/>
      <c r="G5" s="408"/>
      <c r="H5" s="407"/>
      <c r="I5" s="415"/>
      <c r="J5" s="415"/>
      <c r="K5" s="415"/>
      <c r="L5" s="415"/>
      <c r="M5" s="408"/>
      <c r="N5" s="407"/>
      <c r="O5" s="415"/>
      <c r="P5" s="415"/>
      <c r="Q5" s="415"/>
      <c r="R5" s="415"/>
      <c r="S5" s="408"/>
      <c r="T5" s="407"/>
      <c r="U5" s="415"/>
      <c r="V5" s="415"/>
      <c r="W5" s="415"/>
      <c r="X5" s="415"/>
      <c r="Y5" s="408"/>
      <c r="Z5" s="407"/>
      <c r="AA5" s="415"/>
      <c r="AB5" s="415"/>
      <c r="AC5" s="415"/>
      <c r="AD5" s="415"/>
      <c r="AE5" s="408"/>
      <c r="AF5" s="407"/>
      <c r="AG5" s="408"/>
      <c r="AH5" s="407"/>
      <c r="AI5" s="408"/>
      <c r="AJ5" s="419"/>
      <c r="AK5" s="404" t="s">
        <v>130</v>
      </c>
      <c r="AL5" s="404" t="s">
        <v>129</v>
      </c>
      <c r="AM5" s="404" t="s">
        <v>131</v>
      </c>
      <c r="AN5" s="404" t="s">
        <v>132</v>
      </c>
      <c r="AO5" s="404" t="s">
        <v>16</v>
      </c>
      <c r="AP5" s="404" t="s">
        <v>170</v>
      </c>
      <c r="AQ5" s="404" t="s">
        <v>47</v>
      </c>
      <c r="AR5" s="411" t="s">
        <v>100</v>
      </c>
      <c r="AS5" s="412"/>
      <c r="AT5" s="411" t="s">
        <v>101</v>
      </c>
      <c r="AU5" s="412"/>
      <c r="AV5" s="411" t="s">
        <v>102</v>
      </c>
      <c r="AW5" s="412"/>
      <c r="AX5" s="404"/>
      <c r="AY5" s="404" t="s">
        <v>122</v>
      </c>
      <c r="AZ5" s="404" t="s">
        <v>123</v>
      </c>
      <c r="BA5" s="404" t="s">
        <v>124</v>
      </c>
      <c r="BB5" s="404" t="s">
        <v>125</v>
      </c>
      <c r="BC5" s="404" t="s">
        <v>126</v>
      </c>
    </row>
    <row r="6" spans="1:55" ht="39.75" customHeight="1" x14ac:dyDescent="0.2">
      <c r="A6" s="404"/>
      <c r="B6" s="404" t="s">
        <v>410</v>
      </c>
      <c r="C6" s="404" t="s">
        <v>441</v>
      </c>
      <c r="D6" s="404" t="s">
        <v>442</v>
      </c>
      <c r="E6" s="404" t="s">
        <v>59</v>
      </c>
      <c r="F6" s="404"/>
      <c r="G6" s="404"/>
      <c r="H6" s="404" t="s">
        <v>410</v>
      </c>
      <c r="I6" s="404" t="s">
        <v>441</v>
      </c>
      <c r="J6" s="404" t="s">
        <v>442</v>
      </c>
      <c r="K6" s="404" t="s">
        <v>59</v>
      </c>
      <c r="L6" s="404"/>
      <c r="M6" s="404"/>
      <c r="N6" s="404" t="s">
        <v>410</v>
      </c>
      <c r="O6" s="404" t="s">
        <v>441</v>
      </c>
      <c r="P6" s="404" t="s">
        <v>442</v>
      </c>
      <c r="Q6" s="404" t="s">
        <v>59</v>
      </c>
      <c r="R6" s="404"/>
      <c r="S6" s="404"/>
      <c r="T6" s="404" t="s">
        <v>410</v>
      </c>
      <c r="U6" s="404" t="s">
        <v>441</v>
      </c>
      <c r="V6" s="404" t="s">
        <v>442</v>
      </c>
      <c r="W6" s="404" t="s">
        <v>59</v>
      </c>
      <c r="X6" s="404"/>
      <c r="Y6" s="404"/>
      <c r="Z6" s="404" t="s">
        <v>410</v>
      </c>
      <c r="AA6" s="404" t="s">
        <v>441</v>
      </c>
      <c r="AB6" s="404" t="s">
        <v>442</v>
      </c>
      <c r="AC6" s="404" t="s">
        <v>59</v>
      </c>
      <c r="AD6" s="404"/>
      <c r="AE6" s="404"/>
      <c r="AF6" s="409" t="str">
        <f>C6</f>
        <v>Факт 
2023 г.</v>
      </c>
      <c r="AG6" s="409" t="str">
        <f>D6</f>
        <v>Оценка 2024 г.</v>
      </c>
      <c r="AH6" s="409" t="s">
        <v>127</v>
      </c>
      <c r="AI6" s="409" t="s">
        <v>128</v>
      </c>
      <c r="AJ6" s="419"/>
      <c r="AK6" s="404"/>
      <c r="AL6" s="404"/>
      <c r="AM6" s="404"/>
      <c r="AN6" s="404"/>
      <c r="AO6" s="404"/>
      <c r="AP6" s="404"/>
      <c r="AQ6" s="404"/>
      <c r="AR6" s="409" t="s">
        <v>441</v>
      </c>
      <c r="AS6" s="409" t="s">
        <v>442</v>
      </c>
      <c r="AT6" s="409" t="s">
        <v>441</v>
      </c>
      <c r="AU6" s="409" t="s">
        <v>442</v>
      </c>
      <c r="AV6" s="409" t="s">
        <v>441</v>
      </c>
      <c r="AW6" s="409" t="s">
        <v>442</v>
      </c>
      <c r="AX6" s="404"/>
      <c r="AY6" s="404"/>
      <c r="AZ6" s="404"/>
      <c r="BA6" s="404"/>
      <c r="BB6" s="404"/>
      <c r="BC6" s="404"/>
    </row>
    <row r="7" spans="1:55" ht="36" customHeight="1" x14ac:dyDescent="0.2">
      <c r="A7" s="404"/>
      <c r="B7" s="404"/>
      <c r="C7" s="404"/>
      <c r="D7" s="404"/>
      <c r="E7" s="105" t="s">
        <v>391</v>
      </c>
      <c r="F7" s="105" t="s">
        <v>411</v>
      </c>
      <c r="G7" s="105" t="s">
        <v>437</v>
      </c>
      <c r="H7" s="404"/>
      <c r="I7" s="404"/>
      <c r="J7" s="404"/>
      <c r="K7" s="202" t="s">
        <v>391</v>
      </c>
      <c r="L7" s="202" t="s">
        <v>411</v>
      </c>
      <c r="M7" s="202" t="s">
        <v>437</v>
      </c>
      <c r="N7" s="404"/>
      <c r="O7" s="404"/>
      <c r="P7" s="404"/>
      <c r="Q7" s="202" t="s">
        <v>391</v>
      </c>
      <c r="R7" s="202" t="s">
        <v>411</v>
      </c>
      <c r="S7" s="202" t="s">
        <v>437</v>
      </c>
      <c r="T7" s="404"/>
      <c r="U7" s="404"/>
      <c r="V7" s="404"/>
      <c r="W7" s="202" t="s">
        <v>391</v>
      </c>
      <c r="X7" s="202" t="s">
        <v>411</v>
      </c>
      <c r="Y7" s="202" t="s">
        <v>437</v>
      </c>
      <c r="Z7" s="404"/>
      <c r="AA7" s="404"/>
      <c r="AB7" s="404"/>
      <c r="AC7" s="202" t="s">
        <v>391</v>
      </c>
      <c r="AD7" s="202" t="s">
        <v>411</v>
      </c>
      <c r="AE7" s="202" t="s">
        <v>437</v>
      </c>
      <c r="AF7" s="410"/>
      <c r="AG7" s="410"/>
      <c r="AH7" s="410"/>
      <c r="AI7" s="410"/>
      <c r="AJ7" s="410"/>
      <c r="AK7" s="404"/>
      <c r="AL7" s="404"/>
      <c r="AM7" s="404"/>
      <c r="AN7" s="404"/>
      <c r="AO7" s="404"/>
      <c r="AP7" s="404"/>
      <c r="AQ7" s="404"/>
      <c r="AR7" s="410"/>
      <c r="AS7" s="410"/>
      <c r="AT7" s="410"/>
      <c r="AU7" s="410"/>
      <c r="AV7" s="410"/>
      <c r="AW7" s="410"/>
      <c r="AX7" s="404"/>
      <c r="AY7" s="404"/>
      <c r="AZ7" s="404"/>
      <c r="BA7" s="404"/>
      <c r="BB7" s="404"/>
      <c r="BC7" s="404"/>
    </row>
    <row r="8" spans="1:55" s="115" customFormat="1" ht="31.5" x14ac:dyDescent="0.3">
      <c r="A8" s="144" t="s">
        <v>362</v>
      </c>
      <c r="B8" s="357">
        <v>5351.02</v>
      </c>
      <c r="C8" s="357">
        <v>4666.66</v>
      </c>
      <c r="D8" s="357">
        <f>[2]Диагностика!$AL$28</f>
        <v>5067.339962456811</v>
      </c>
      <c r="E8" s="358">
        <v>5310.26</v>
      </c>
      <c r="F8" s="358">
        <v>5506.72</v>
      </c>
      <c r="G8" s="358">
        <v>5813.74</v>
      </c>
      <c r="H8" s="358">
        <f t="shared" ref="H8:H16" si="0">R20</f>
        <v>874.49905952719052</v>
      </c>
      <c r="I8" s="358">
        <f t="shared" ref="I8:I16" si="1">S20</f>
        <v>1107.088919266344</v>
      </c>
      <c r="J8" s="358">
        <f t="shared" ref="J8:J15" si="2">T20</f>
        <v>1220.1264363298924</v>
      </c>
      <c r="K8" s="358">
        <f t="shared" ref="K8:K16" si="3">U20</f>
        <v>1306.1567774994426</v>
      </c>
      <c r="L8" s="358">
        <f t="shared" ref="L8:L16" si="4">V20</f>
        <v>1370.4068794243528</v>
      </c>
      <c r="M8" s="358">
        <f t="shared" ref="M8:M16" si="5">W20</f>
        <v>1432.154980375652</v>
      </c>
      <c r="N8" s="359">
        <f>G20</f>
        <v>3442.362260111629</v>
      </c>
      <c r="O8" s="359">
        <f>H20</f>
        <v>3478.7361419068734</v>
      </c>
      <c r="P8" s="359">
        <f>J20</f>
        <v>3471.7361419068734</v>
      </c>
      <c r="Q8" s="359">
        <f>P8</f>
        <v>3471.7361419068734</v>
      </c>
      <c r="R8" s="359">
        <f t="shared" ref="R8:S8" si="6">Q8</f>
        <v>3471.7361419068734</v>
      </c>
      <c r="S8" s="359">
        <f t="shared" si="6"/>
        <v>3471.7361419068734</v>
      </c>
      <c r="T8" s="359">
        <v>412991.2</v>
      </c>
      <c r="U8" s="359">
        <v>851029.6</v>
      </c>
      <c r="V8" s="359">
        <v>978648.1</v>
      </c>
      <c r="W8" s="359">
        <v>409846.1</v>
      </c>
      <c r="X8" s="359">
        <v>354171</v>
      </c>
      <c r="Y8" s="359">
        <v>354171</v>
      </c>
      <c r="Z8" s="359">
        <v>411438.5</v>
      </c>
      <c r="AA8" s="359">
        <v>792837.9</v>
      </c>
      <c r="AB8" s="359">
        <v>1047776.9</v>
      </c>
      <c r="AC8" s="359">
        <v>416188</v>
      </c>
      <c r="AD8" s="359">
        <v>360625.7</v>
      </c>
      <c r="AE8" s="359">
        <v>360625.7</v>
      </c>
      <c r="AF8" s="360">
        <v>13</v>
      </c>
      <c r="AG8" s="360">
        <v>20</v>
      </c>
      <c r="AH8" s="145"/>
      <c r="AI8" s="145"/>
      <c r="AJ8" s="360">
        <f>AT8+AX8+AV8</f>
        <v>134</v>
      </c>
      <c r="AK8" s="361">
        <v>11</v>
      </c>
      <c r="AL8" s="361">
        <v>11</v>
      </c>
      <c r="AM8" s="361">
        <v>0</v>
      </c>
      <c r="AN8" s="362">
        <v>7</v>
      </c>
      <c r="AO8" s="362">
        <v>32</v>
      </c>
      <c r="AP8" s="362">
        <v>24</v>
      </c>
      <c r="AQ8" s="362">
        <v>103</v>
      </c>
      <c r="AR8" s="360">
        <v>247</v>
      </c>
      <c r="AS8" s="363">
        <f>AR8*101%</f>
        <v>249.47</v>
      </c>
      <c r="AT8" s="360">
        <v>7</v>
      </c>
      <c r="AU8" s="360">
        <f>AT8</f>
        <v>7</v>
      </c>
      <c r="AV8" s="360">
        <v>106</v>
      </c>
      <c r="AW8" s="363">
        <f>AV8*101%</f>
        <v>107.06</v>
      </c>
      <c r="AX8" s="364">
        <f>AY8+AZ8+BA8+BB8+BC8+2+2+1</f>
        <v>21</v>
      </c>
      <c r="AY8" s="364">
        <v>8</v>
      </c>
      <c r="AZ8" s="364">
        <v>3</v>
      </c>
      <c r="BA8" s="364">
        <v>3</v>
      </c>
      <c r="BB8" s="364"/>
      <c r="BC8" s="364">
        <v>2</v>
      </c>
    </row>
    <row r="9" spans="1:55" s="115" customFormat="1" ht="31.5" x14ac:dyDescent="0.3">
      <c r="A9" s="144" t="s">
        <v>363</v>
      </c>
      <c r="B9" s="357">
        <v>5234.6000000000004</v>
      </c>
      <c r="C9" s="357">
        <v>6106.8</v>
      </c>
      <c r="D9" s="357">
        <f>[2]Диагностика!$AL$29</f>
        <v>6631.1406630970141</v>
      </c>
      <c r="E9" s="358">
        <v>6949.02</v>
      </c>
      <c r="F9" s="358">
        <v>7206.11</v>
      </c>
      <c r="G9" s="358">
        <v>7607.88</v>
      </c>
      <c r="H9" s="358">
        <f t="shared" si="0"/>
        <v>3892.0509860854745</v>
      </c>
      <c r="I9" s="358">
        <f t="shared" si="1"/>
        <v>4927.2168711587992</v>
      </c>
      <c r="J9" s="358">
        <f t="shared" si="2"/>
        <v>5430.3023518792716</v>
      </c>
      <c r="K9" s="358">
        <f t="shared" si="3"/>
        <v>5813.1895265816092</v>
      </c>
      <c r="L9" s="358">
        <f t="shared" si="4"/>
        <v>6099.1414322224691</v>
      </c>
      <c r="M9" s="358">
        <f t="shared" si="5"/>
        <v>6373.9579166751173</v>
      </c>
      <c r="N9" s="359">
        <f t="shared" ref="N9:N16" si="7">G21</f>
        <v>8828.3226546372061</v>
      </c>
      <c r="O9" s="359">
        <f t="shared" ref="O9:O16" si="8">H21</f>
        <v>8921.607538802662</v>
      </c>
      <c r="P9" s="359">
        <f t="shared" ref="P9:P16" si="9">J21</f>
        <v>8919.607538802662</v>
      </c>
      <c r="Q9" s="359">
        <f t="shared" ref="Q9:S15" si="10">P9</f>
        <v>8919.607538802662</v>
      </c>
      <c r="R9" s="359">
        <f t="shared" si="10"/>
        <v>8919.607538802662</v>
      </c>
      <c r="S9" s="359">
        <f t="shared" si="10"/>
        <v>8919.607538802662</v>
      </c>
      <c r="T9" s="365">
        <v>258250</v>
      </c>
      <c r="U9" s="365">
        <v>458659</v>
      </c>
      <c r="V9" s="365">
        <v>235666</v>
      </c>
      <c r="W9" s="365">
        <v>207034</v>
      </c>
      <c r="X9" s="365">
        <v>178206</v>
      </c>
      <c r="Y9" s="365">
        <v>122144</v>
      </c>
      <c r="Z9" s="366">
        <v>267572</v>
      </c>
      <c r="AA9" s="365">
        <v>455261</v>
      </c>
      <c r="AB9" s="365">
        <v>241869</v>
      </c>
      <c r="AC9" s="365">
        <v>213334</v>
      </c>
      <c r="AD9" s="365">
        <v>184606</v>
      </c>
      <c r="AE9" s="365">
        <v>128644</v>
      </c>
      <c r="AF9" s="360">
        <v>28</v>
      </c>
      <c r="AG9" s="360">
        <v>30</v>
      </c>
      <c r="AH9" s="145"/>
      <c r="AI9" s="145"/>
      <c r="AJ9" s="360">
        <f t="shared" ref="AJ9:AJ15" si="11">AT9+AX9+AV9</f>
        <v>125</v>
      </c>
      <c r="AK9" s="361">
        <v>20</v>
      </c>
      <c r="AL9" s="362">
        <v>15</v>
      </c>
      <c r="AM9" s="362">
        <v>1</v>
      </c>
      <c r="AN9" s="362">
        <v>15</v>
      </c>
      <c r="AO9" s="362">
        <v>28</v>
      </c>
      <c r="AP9" s="362">
        <v>12</v>
      </c>
      <c r="AQ9" s="362">
        <v>111</v>
      </c>
      <c r="AR9" s="360">
        <v>360</v>
      </c>
      <c r="AS9" s="363">
        <f t="shared" ref="AS9:AS15" si="12">AR9*101%</f>
        <v>363.6</v>
      </c>
      <c r="AT9" s="360">
        <v>7</v>
      </c>
      <c r="AU9" s="360">
        <f>AT9</f>
        <v>7</v>
      </c>
      <c r="AV9" s="360">
        <v>90</v>
      </c>
      <c r="AW9" s="363">
        <f t="shared" ref="AW9:AW15" si="13">AV9*101%</f>
        <v>90.9</v>
      </c>
      <c r="AX9" s="364">
        <f>AY9+AZ9+BA9+BB9+BC9+3+6+1+1</f>
        <v>28</v>
      </c>
      <c r="AY9" s="364">
        <v>5</v>
      </c>
      <c r="AZ9" s="364">
        <v>5</v>
      </c>
      <c r="BA9" s="364">
        <v>3</v>
      </c>
      <c r="BB9" s="364"/>
      <c r="BC9" s="364">
        <v>4</v>
      </c>
    </row>
    <row r="10" spans="1:55" s="115" customFormat="1" ht="31.5" x14ac:dyDescent="0.3">
      <c r="A10" s="144" t="s">
        <v>364</v>
      </c>
      <c r="B10" s="357">
        <v>1060.5</v>
      </c>
      <c r="C10" s="357">
        <v>890.58</v>
      </c>
      <c r="D10" s="357">
        <f>[2]Диагностика!$AL$30</f>
        <v>967.04957992157256</v>
      </c>
      <c r="E10" s="358">
        <v>1013.41</v>
      </c>
      <c r="F10" s="358">
        <v>1050.9000000000001</v>
      </c>
      <c r="G10" s="358">
        <v>1109.49</v>
      </c>
      <c r="H10" s="358">
        <f t="shared" si="0"/>
        <v>477.66557858866963</v>
      </c>
      <c r="I10" s="358">
        <f t="shared" si="1"/>
        <v>604.70993468692313</v>
      </c>
      <c r="J10" s="358">
        <f t="shared" si="2"/>
        <v>666.45286099673433</v>
      </c>
      <c r="K10" s="358">
        <f t="shared" si="3"/>
        <v>713.44402953286942</v>
      </c>
      <c r="L10" s="358">
        <f t="shared" si="4"/>
        <v>748.53847792134036</v>
      </c>
      <c r="M10" s="358">
        <f t="shared" si="5"/>
        <v>782.26629277296604</v>
      </c>
      <c r="N10" s="359">
        <f t="shared" si="7"/>
        <v>783.5608226928664</v>
      </c>
      <c r="O10" s="359">
        <f t="shared" si="8"/>
        <v>791.84035476718407</v>
      </c>
      <c r="P10" s="359">
        <f t="shared" si="9"/>
        <v>789.84035476718407</v>
      </c>
      <c r="Q10" s="359">
        <f t="shared" si="10"/>
        <v>789.84035476718407</v>
      </c>
      <c r="R10" s="359">
        <f t="shared" si="10"/>
        <v>789.84035476718407</v>
      </c>
      <c r="S10" s="359">
        <f t="shared" si="10"/>
        <v>789.84035476718407</v>
      </c>
      <c r="T10" s="359">
        <v>52556</v>
      </c>
      <c r="U10" s="359">
        <v>69490</v>
      </c>
      <c r="V10" s="359">
        <v>69762</v>
      </c>
      <c r="W10" s="359">
        <v>38892</v>
      </c>
      <c r="X10" s="359">
        <v>39226</v>
      </c>
      <c r="Y10" s="359">
        <v>37081</v>
      </c>
      <c r="Z10" s="359">
        <v>51316</v>
      </c>
      <c r="AA10" s="359">
        <v>70639</v>
      </c>
      <c r="AB10" s="359">
        <v>74539</v>
      </c>
      <c r="AC10" s="359">
        <v>40592</v>
      </c>
      <c r="AD10" s="359">
        <v>41012</v>
      </c>
      <c r="AE10" s="359">
        <v>38881</v>
      </c>
      <c r="AF10" s="360">
        <v>3</v>
      </c>
      <c r="AG10" s="360">
        <v>5</v>
      </c>
      <c r="AH10" s="145"/>
      <c r="AI10" s="145"/>
      <c r="AJ10" s="360">
        <f>AT10+AX10+AV10</f>
        <v>25</v>
      </c>
      <c r="AK10" s="361">
        <v>2</v>
      </c>
      <c r="AL10" s="362">
        <v>0</v>
      </c>
      <c r="AM10" s="362">
        <v>0</v>
      </c>
      <c r="AN10" s="362">
        <v>2</v>
      </c>
      <c r="AO10" s="362">
        <v>11</v>
      </c>
      <c r="AP10" s="362">
        <v>1</v>
      </c>
      <c r="AQ10" s="362">
        <v>15</v>
      </c>
      <c r="AR10" s="360">
        <v>62</v>
      </c>
      <c r="AS10" s="363">
        <f t="shared" si="12"/>
        <v>62.62</v>
      </c>
      <c r="AT10" s="360">
        <v>0</v>
      </c>
      <c r="AU10" s="360">
        <v>0</v>
      </c>
      <c r="AV10" s="360">
        <v>17</v>
      </c>
      <c r="AW10" s="363">
        <f t="shared" si="13"/>
        <v>17.170000000000002</v>
      </c>
      <c r="AX10" s="364">
        <f t="shared" ref="AX10:AX15" si="14">SUM(AY10:BC10)+2</f>
        <v>8</v>
      </c>
      <c r="AY10" s="364">
        <v>3</v>
      </c>
      <c r="AZ10" s="364">
        <v>1</v>
      </c>
      <c r="BA10" s="364"/>
      <c r="BB10" s="364"/>
      <c r="BC10" s="364">
        <v>2</v>
      </c>
    </row>
    <row r="11" spans="1:55" s="115" customFormat="1" ht="31.5" x14ac:dyDescent="0.3">
      <c r="A11" s="144" t="s">
        <v>365</v>
      </c>
      <c r="B11" s="357">
        <v>378.9</v>
      </c>
      <c r="C11" s="357">
        <v>365.22</v>
      </c>
      <c r="D11" s="357">
        <f>[2]Диагностика!$AL$31</f>
        <v>396.58006082412766</v>
      </c>
      <c r="E11" s="358">
        <v>415.59100000000001</v>
      </c>
      <c r="F11" s="358">
        <v>430.96699999999998</v>
      </c>
      <c r="G11" s="358">
        <v>454.995</v>
      </c>
      <c r="H11" s="358">
        <f t="shared" si="0"/>
        <v>50.583999538548916</v>
      </c>
      <c r="I11" s="358">
        <f t="shared" si="1"/>
        <v>64.037788001257582</v>
      </c>
      <c r="J11" s="358">
        <f t="shared" si="2"/>
        <v>70.576262398328637</v>
      </c>
      <c r="K11" s="358">
        <f t="shared" si="3"/>
        <v>75.552549897567999</v>
      </c>
      <c r="L11" s="358">
        <f t="shared" si="4"/>
        <v>79.268994290176664</v>
      </c>
      <c r="M11" s="358">
        <f t="shared" si="5"/>
        <v>82.840714437841015</v>
      </c>
      <c r="N11" s="359">
        <f t="shared" si="7"/>
        <v>131.6137319366924</v>
      </c>
      <c r="O11" s="359">
        <f t="shared" si="8"/>
        <v>133.00443458980044</v>
      </c>
      <c r="P11" s="359">
        <f t="shared" si="9"/>
        <v>133.00443458980044</v>
      </c>
      <c r="Q11" s="359">
        <f t="shared" si="10"/>
        <v>133.00443458980044</v>
      </c>
      <c r="R11" s="359">
        <f t="shared" si="10"/>
        <v>133.00443458980044</v>
      </c>
      <c r="S11" s="359">
        <f t="shared" si="10"/>
        <v>133.00443458980044</v>
      </c>
      <c r="T11" s="359">
        <v>12626</v>
      </c>
      <c r="U11" s="359">
        <v>17050</v>
      </c>
      <c r="V11" s="359">
        <v>72652</v>
      </c>
      <c r="W11" s="359">
        <v>37549</v>
      </c>
      <c r="X11" s="359">
        <v>17851</v>
      </c>
      <c r="Y11" s="359">
        <v>18565</v>
      </c>
      <c r="Z11" s="359">
        <v>12636.3</v>
      </c>
      <c r="AA11" s="359">
        <v>16891.599999999999</v>
      </c>
      <c r="AB11" s="359">
        <v>72652</v>
      </c>
      <c r="AC11" s="359">
        <v>37549</v>
      </c>
      <c r="AD11" s="359">
        <v>17851</v>
      </c>
      <c r="AE11" s="359">
        <v>18565</v>
      </c>
      <c r="AF11" s="360">
        <v>0</v>
      </c>
      <c r="AG11" s="360">
        <v>0</v>
      </c>
      <c r="AH11" s="145"/>
      <c r="AI11" s="145"/>
      <c r="AJ11" s="360">
        <f t="shared" si="11"/>
        <v>4</v>
      </c>
      <c r="AK11" s="361">
        <v>1</v>
      </c>
      <c r="AL11" s="362">
        <v>0</v>
      </c>
      <c r="AM11" s="362">
        <v>0</v>
      </c>
      <c r="AN11" s="362">
        <v>0</v>
      </c>
      <c r="AO11" s="362">
        <v>1</v>
      </c>
      <c r="AP11" s="362">
        <v>0</v>
      </c>
      <c r="AQ11" s="362">
        <v>6</v>
      </c>
      <c r="AR11" s="360">
        <v>7</v>
      </c>
      <c r="AS11" s="363">
        <f t="shared" si="12"/>
        <v>7.07</v>
      </c>
      <c r="AT11" s="360">
        <v>0</v>
      </c>
      <c r="AU11" s="360">
        <v>0</v>
      </c>
      <c r="AV11" s="360">
        <v>0</v>
      </c>
      <c r="AW11" s="363">
        <f t="shared" si="13"/>
        <v>0</v>
      </c>
      <c r="AX11" s="364">
        <f t="shared" si="14"/>
        <v>4</v>
      </c>
      <c r="AY11" s="364">
        <v>1</v>
      </c>
      <c r="AZ11" s="364"/>
      <c r="BA11" s="364"/>
      <c r="BB11" s="364"/>
      <c r="BC11" s="364">
        <v>1</v>
      </c>
    </row>
    <row r="12" spans="1:55" s="115" customFormat="1" ht="31.5" x14ac:dyDescent="0.3">
      <c r="A12" s="144" t="s">
        <v>366</v>
      </c>
      <c r="B12" s="357">
        <v>81.599999999999994</v>
      </c>
      <c r="C12" s="357">
        <v>58.52</v>
      </c>
      <c r="D12" s="357">
        <f>[2]Диагностика!$AL$32</f>
        <v>63.545417900295682</v>
      </c>
      <c r="E12" s="358">
        <v>66.5916</v>
      </c>
      <c r="F12" s="358">
        <v>69.055300000000003</v>
      </c>
      <c r="G12" s="358">
        <v>72.9054</v>
      </c>
      <c r="H12" s="358">
        <f t="shared" si="0"/>
        <v>99.827018493539668</v>
      </c>
      <c r="I12" s="358">
        <f t="shared" si="1"/>
        <v>126.37793581773187</v>
      </c>
      <c r="J12" s="358">
        <f t="shared" si="2"/>
        <v>139.28154981643371</v>
      </c>
      <c r="K12" s="358">
        <f t="shared" si="3"/>
        <v>149.10220355570877</v>
      </c>
      <c r="L12" s="358">
        <f t="shared" si="4"/>
        <v>156.43656949149101</v>
      </c>
      <c r="M12" s="358">
        <f t="shared" si="5"/>
        <v>163.4853235735583</v>
      </c>
      <c r="N12" s="359">
        <f t="shared" si="7"/>
        <v>37.749675051609451</v>
      </c>
      <c r="O12" s="359">
        <f t="shared" si="8"/>
        <v>38.148558758314856</v>
      </c>
      <c r="P12" s="359">
        <f t="shared" si="9"/>
        <v>38.148558758314856</v>
      </c>
      <c r="Q12" s="359">
        <f t="shared" si="10"/>
        <v>38.148558758314856</v>
      </c>
      <c r="R12" s="359">
        <f t="shared" si="10"/>
        <v>38.148558758314856</v>
      </c>
      <c r="S12" s="359">
        <f t="shared" si="10"/>
        <v>38.148558758314856</v>
      </c>
      <c r="T12" s="359">
        <v>31668</v>
      </c>
      <c r="U12" s="359">
        <v>21857</v>
      </c>
      <c r="V12" s="359">
        <v>44562</v>
      </c>
      <c r="W12" s="359">
        <v>49325.677799999998</v>
      </c>
      <c r="X12" s="359">
        <v>54455.548291200001</v>
      </c>
      <c r="Y12" s="359">
        <v>60118.925313484804</v>
      </c>
      <c r="Z12" s="359">
        <v>24599</v>
      </c>
      <c r="AA12" s="359">
        <v>26077</v>
      </c>
      <c r="AB12" s="359">
        <v>44562</v>
      </c>
      <c r="AC12" s="359">
        <v>49326</v>
      </c>
      <c r="AD12" s="359">
        <v>54456</v>
      </c>
      <c r="AE12" s="359">
        <v>60119</v>
      </c>
      <c r="AF12" s="360">
        <v>5</v>
      </c>
      <c r="AG12" s="360">
        <v>5</v>
      </c>
      <c r="AH12" s="145"/>
      <c r="AI12" s="145"/>
      <c r="AJ12" s="360">
        <f t="shared" si="11"/>
        <v>17</v>
      </c>
      <c r="AK12" s="361">
        <v>1</v>
      </c>
      <c r="AL12" s="362">
        <v>5</v>
      </c>
      <c r="AM12" s="362">
        <v>0</v>
      </c>
      <c r="AN12" s="362">
        <v>0</v>
      </c>
      <c r="AO12" s="362">
        <v>3</v>
      </c>
      <c r="AP12" s="362">
        <v>2</v>
      </c>
      <c r="AQ12" s="362">
        <v>9</v>
      </c>
      <c r="AR12" s="360">
        <v>42</v>
      </c>
      <c r="AS12" s="363">
        <f t="shared" si="12"/>
        <v>42.42</v>
      </c>
      <c r="AT12" s="360">
        <v>0</v>
      </c>
      <c r="AU12" s="360">
        <v>0</v>
      </c>
      <c r="AV12" s="360">
        <v>13</v>
      </c>
      <c r="AW12" s="363">
        <f t="shared" si="13"/>
        <v>13.13</v>
      </c>
      <c r="AX12" s="364">
        <f t="shared" si="14"/>
        <v>4</v>
      </c>
      <c r="AY12" s="364"/>
      <c r="AZ12" s="364">
        <v>1</v>
      </c>
      <c r="BA12" s="364"/>
      <c r="BB12" s="364"/>
      <c r="BC12" s="364">
        <v>1</v>
      </c>
    </row>
    <row r="13" spans="1:55" s="115" customFormat="1" ht="31.5" x14ac:dyDescent="0.3">
      <c r="A13" s="144" t="s">
        <v>367</v>
      </c>
      <c r="B13" s="357">
        <v>35.9</v>
      </c>
      <c r="C13" s="357">
        <v>29.1</v>
      </c>
      <c r="D13" s="357">
        <f>[2]Диагностика!$AL$33</f>
        <v>31.594816809253828</v>
      </c>
      <c r="E13" s="358">
        <v>33.109400000000001</v>
      </c>
      <c r="F13" s="358">
        <v>34.334299999999999</v>
      </c>
      <c r="G13" s="358">
        <v>36.248600000000003</v>
      </c>
      <c r="H13" s="358">
        <f t="shared" si="0"/>
        <v>24.220597756637794</v>
      </c>
      <c r="I13" s="358">
        <f t="shared" si="1"/>
        <v>30.662531997322564</v>
      </c>
      <c r="J13" s="358">
        <f t="shared" si="2"/>
        <v>33.793280055171287</v>
      </c>
      <c r="K13" s="358">
        <f t="shared" si="3"/>
        <v>36.17602279872618</v>
      </c>
      <c r="L13" s="358">
        <f t="shared" si="4"/>
        <v>37.955528285430304</v>
      </c>
      <c r="M13" s="358">
        <f t="shared" si="5"/>
        <v>39.665737003306212</v>
      </c>
      <c r="N13" s="359">
        <f t="shared" si="7"/>
        <v>81.620919030506926</v>
      </c>
      <c r="O13" s="359">
        <f t="shared" si="8"/>
        <v>82.483370288248338</v>
      </c>
      <c r="P13" s="359">
        <f t="shared" si="9"/>
        <v>82.483370288248338</v>
      </c>
      <c r="Q13" s="359">
        <f t="shared" si="10"/>
        <v>82.483370288248338</v>
      </c>
      <c r="R13" s="359">
        <f t="shared" si="10"/>
        <v>82.483370288248338</v>
      </c>
      <c r="S13" s="359">
        <f t="shared" si="10"/>
        <v>82.483370288248338</v>
      </c>
      <c r="T13" s="359">
        <v>12443.54</v>
      </c>
      <c r="U13" s="359">
        <v>15852.84</v>
      </c>
      <c r="V13" s="359">
        <v>13716.04</v>
      </c>
      <c r="W13" s="359">
        <v>11231.1</v>
      </c>
      <c r="X13" s="359">
        <v>11663.7</v>
      </c>
      <c r="Y13" s="359">
        <v>11663.7</v>
      </c>
      <c r="Z13" s="367">
        <v>12273.95</v>
      </c>
      <c r="AA13" s="359">
        <v>13339.31</v>
      </c>
      <c r="AB13" s="359">
        <v>16884.53</v>
      </c>
      <c r="AC13" s="359">
        <v>11094.55</v>
      </c>
      <c r="AD13" s="359">
        <v>11275.57</v>
      </c>
      <c r="AE13" s="359">
        <v>11275.57</v>
      </c>
      <c r="AF13" s="360">
        <v>0</v>
      </c>
      <c r="AG13" s="360">
        <v>0</v>
      </c>
      <c r="AH13" s="145"/>
      <c r="AI13" s="145"/>
      <c r="AJ13" s="360">
        <f t="shared" si="11"/>
        <v>6</v>
      </c>
      <c r="AK13" s="361">
        <v>0</v>
      </c>
      <c r="AL13" s="362">
        <v>0</v>
      </c>
      <c r="AM13" s="362">
        <v>0</v>
      </c>
      <c r="AN13" s="362">
        <v>1</v>
      </c>
      <c r="AO13" s="362">
        <v>0</v>
      </c>
      <c r="AP13" s="362">
        <v>0</v>
      </c>
      <c r="AQ13" s="362">
        <v>4</v>
      </c>
      <c r="AR13" s="360">
        <v>14</v>
      </c>
      <c r="AS13" s="363">
        <f t="shared" si="12"/>
        <v>14.14</v>
      </c>
      <c r="AT13" s="360">
        <v>0</v>
      </c>
      <c r="AU13" s="360">
        <v>0</v>
      </c>
      <c r="AV13" s="360">
        <v>3</v>
      </c>
      <c r="AW13" s="363">
        <f t="shared" si="13"/>
        <v>3.0300000000000002</v>
      </c>
      <c r="AX13" s="364">
        <f t="shared" si="14"/>
        <v>3</v>
      </c>
      <c r="AY13" s="364"/>
      <c r="AZ13" s="364"/>
      <c r="BA13" s="364"/>
      <c r="BB13" s="364"/>
      <c r="BC13" s="364">
        <v>1</v>
      </c>
    </row>
    <row r="14" spans="1:55" s="115" customFormat="1" ht="31.5" x14ac:dyDescent="0.3">
      <c r="A14" s="144" t="s">
        <v>368</v>
      </c>
      <c r="B14" s="357">
        <v>26.9</v>
      </c>
      <c r="C14" s="357">
        <v>24.64</v>
      </c>
      <c r="D14" s="357">
        <f>[2]Диагностика!$AL$34</f>
        <v>26.756441374889476</v>
      </c>
      <c r="E14" s="358">
        <v>28.039000000000001</v>
      </c>
      <c r="F14" s="358">
        <v>29.076000000000001</v>
      </c>
      <c r="G14" s="358">
        <v>30.697600000000001</v>
      </c>
      <c r="H14" s="358">
        <f t="shared" si="0"/>
        <v>11.737036241658382</v>
      </c>
      <c r="I14" s="358">
        <f t="shared" si="1"/>
        <v>14.858726978154598</v>
      </c>
      <c r="J14" s="358">
        <f t="shared" si="2"/>
        <v>16.375853177420332</v>
      </c>
      <c r="K14" s="358">
        <f t="shared" si="3"/>
        <v>17.530504198697791</v>
      </c>
      <c r="L14" s="358">
        <f t="shared" si="4"/>
        <v>18.392833056124619</v>
      </c>
      <c r="M14" s="358">
        <f t="shared" si="5"/>
        <v>19.221581458793935</v>
      </c>
      <c r="N14" s="359">
        <f t="shared" si="7"/>
        <v>33.668629100084104</v>
      </c>
      <c r="O14" s="359">
        <f t="shared" si="8"/>
        <v>34.024390243902438</v>
      </c>
      <c r="P14" s="359">
        <f t="shared" si="9"/>
        <v>35.024390243902438</v>
      </c>
      <c r="Q14" s="359">
        <f t="shared" si="10"/>
        <v>35.024390243902438</v>
      </c>
      <c r="R14" s="359">
        <f t="shared" si="10"/>
        <v>35.024390243902438</v>
      </c>
      <c r="S14" s="359">
        <f t="shared" si="10"/>
        <v>35.024390243902438</v>
      </c>
      <c r="T14" s="359">
        <v>14078.06</v>
      </c>
      <c r="U14" s="359">
        <v>20580</v>
      </c>
      <c r="V14" s="359">
        <v>15692.84</v>
      </c>
      <c r="W14" s="359">
        <v>15006.8</v>
      </c>
      <c r="X14" s="359">
        <v>12099.4</v>
      </c>
      <c r="Y14" s="359">
        <v>11722.9</v>
      </c>
      <c r="Z14" s="359">
        <v>12701.69</v>
      </c>
      <c r="AA14" s="359">
        <v>20361.53</v>
      </c>
      <c r="AB14" s="359">
        <v>16565.740000000002</v>
      </c>
      <c r="AC14" s="359">
        <v>15106.8</v>
      </c>
      <c r="AD14" s="359">
        <v>12199.4</v>
      </c>
      <c r="AE14" s="359">
        <v>11827.9</v>
      </c>
      <c r="AF14" s="360">
        <v>1</v>
      </c>
      <c r="AG14" s="360">
        <v>0</v>
      </c>
      <c r="AH14" s="145"/>
      <c r="AI14" s="145"/>
      <c r="AJ14" s="360">
        <f t="shared" si="11"/>
        <v>7</v>
      </c>
      <c r="AK14" s="361">
        <v>0</v>
      </c>
      <c r="AL14" s="362">
        <v>0</v>
      </c>
      <c r="AM14" s="362">
        <v>0</v>
      </c>
      <c r="AN14" s="362">
        <v>0</v>
      </c>
      <c r="AO14" s="362">
        <v>1</v>
      </c>
      <c r="AP14" s="362">
        <v>1</v>
      </c>
      <c r="AQ14" s="362">
        <v>3</v>
      </c>
      <c r="AR14" s="360">
        <v>13</v>
      </c>
      <c r="AS14" s="363">
        <f t="shared" si="12"/>
        <v>13.13</v>
      </c>
      <c r="AT14" s="360">
        <v>0</v>
      </c>
      <c r="AU14" s="360">
        <v>0</v>
      </c>
      <c r="AV14" s="360">
        <v>3</v>
      </c>
      <c r="AW14" s="363">
        <f t="shared" si="13"/>
        <v>3.0300000000000002</v>
      </c>
      <c r="AX14" s="364">
        <f t="shared" si="14"/>
        <v>4</v>
      </c>
      <c r="AY14" s="364"/>
      <c r="AZ14" s="364"/>
      <c r="BA14" s="364"/>
      <c r="BB14" s="364"/>
      <c r="BC14" s="364">
        <v>2</v>
      </c>
    </row>
    <row r="15" spans="1:55" s="115" customFormat="1" ht="31.5" x14ac:dyDescent="0.3">
      <c r="A15" s="144" t="s">
        <v>369</v>
      </c>
      <c r="B15" s="357">
        <v>14.7</v>
      </c>
      <c r="C15" s="357">
        <v>1.96</v>
      </c>
      <c r="D15" s="357">
        <f>[2]Диагностика!$AL$35</f>
        <v>2.1230576160359629</v>
      </c>
      <c r="E15" s="358">
        <v>2.2240000000000002</v>
      </c>
      <c r="F15" s="358">
        <v>2.3069999999999999</v>
      </c>
      <c r="G15" s="358">
        <v>2.4357799999999998</v>
      </c>
      <c r="H15" s="358">
        <f t="shared" si="0"/>
        <v>21.925723768280559</v>
      </c>
      <c r="I15" s="358">
        <f t="shared" si="1"/>
        <v>27.75729209346666</v>
      </c>
      <c r="J15" s="358">
        <f t="shared" si="2"/>
        <v>30.591405346747525</v>
      </c>
      <c r="K15" s="358">
        <f t="shared" si="3"/>
        <v>32.748385935376561</v>
      </c>
      <c r="L15" s="358">
        <f t="shared" si="4"/>
        <v>34.359285308614425</v>
      </c>
      <c r="M15" s="358">
        <f t="shared" si="5"/>
        <v>35.907453702764641</v>
      </c>
      <c r="N15" s="359">
        <f t="shared" si="7"/>
        <v>5.1013074394066829</v>
      </c>
      <c r="O15" s="359">
        <f t="shared" si="8"/>
        <v>5.1552106430155211</v>
      </c>
      <c r="P15" s="359">
        <f t="shared" si="9"/>
        <v>5.1552106430155211</v>
      </c>
      <c r="Q15" s="359">
        <f t="shared" si="10"/>
        <v>5.1552106430155211</v>
      </c>
      <c r="R15" s="359">
        <f t="shared" si="10"/>
        <v>5.1552106430155211</v>
      </c>
      <c r="S15" s="359">
        <f t="shared" si="10"/>
        <v>5.1552106430155211</v>
      </c>
      <c r="T15" s="359">
        <v>1805.45</v>
      </c>
      <c r="U15" s="359">
        <v>3887.17</v>
      </c>
      <c r="V15" s="359">
        <v>3414.14</v>
      </c>
      <c r="W15" s="359">
        <v>2778.79</v>
      </c>
      <c r="X15" s="359">
        <v>2820.65</v>
      </c>
      <c r="Y15" s="359">
        <v>2820.65</v>
      </c>
      <c r="Z15" s="359">
        <v>3258.39</v>
      </c>
      <c r="AA15" s="359">
        <v>3955.09</v>
      </c>
      <c r="AB15" s="359">
        <v>4108.7700000000004</v>
      </c>
      <c r="AC15" s="359">
        <v>2736.46</v>
      </c>
      <c r="AD15" s="359">
        <v>2719.03</v>
      </c>
      <c r="AE15" s="359">
        <v>2719.03</v>
      </c>
      <c r="AF15" s="360">
        <v>0</v>
      </c>
      <c r="AG15" s="360">
        <v>0</v>
      </c>
      <c r="AH15" s="145"/>
      <c r="AI15" s="145"/>
      <c r="AJ15" s="360">
        <f t="shared" si="11"/>
        <v>2</v>
      </c>
      <c r="AK15" s="361">
        <v>0</v>
      </c>
      <c r="AL15" s="362">
        <v>0</v>
      </c>
      <c r="AM15" s="362">
        <v>0</v>
      </c>
      <c r="AN15" s="362">
        <v>0</v>
      </c>
      <c r="AO15" s="362">
        <v>0</v>
      </c>
      <c r="AP15" s="362">
        <v>0</v>
      </c>
      <c r="AQ15" s="362">
        <v>2</v>
      </c>
      <c r="AR15" s="360">
        <v>0</v>
      </c>
      <c r="AS15" s="363">
        <f t="shared" si="12"/>
        <v>0</v>
      </c>
      <c r="AT15" s="360">
        <v>0</v>
      </c>
      <c r="AU15" s="360">
        <v>0</v>
      </c>
      <c r="AV15" s="360">
        <v>0</v>
      </c>
      <c r="AW15" s="363">
        <f t="shared" si="13"/>
        <v>0</v>
      </c>
      <c r="AX15" s="364">
        <f t="shared" si="14"/>
        <v>2</v>
      </c>
      <c r="AY15" s="364"/>
      <c r="AZ15" s="364"/>
      <c r="BA15" s="364"/>
      <c r="BB15" s="364"/>
      <c r="BC15" s="364"/>
    </row>
    <row r="16" spans="1:55" s="115" customFormat="1" ht="19.5" x14ac:dyDescent="0.3">
      <c r="A16" s="146" t="s">
        <v>99</v>
      </c>
      <c r="B16" s="357">
        <f t="shared" ref="B16:G16" si="15">SUM(B8:B15)</f>
        <v>12184.12</v>
      </c>
      <c r="C16" s="357">
        <f t="shared" si="15"/>
        <v>12143.479999999998</v>
      </c>
      <c r="D16" s="357">
        <f>SUM(D8:D15)</f>
        <v>13186.130000000001</v>
      </c>
      <c r="E16" s="358">
        <f t="shared" si="15"/>
        <v>13818.245000000001</v>
      </c>
      <c r="F16" s="358">
        <f t="shared" si="15"/>
        <v>14329.4696</v>
      </c>
      <c r="G16" s="358">
        <f t="shared" si="15"/>
        <v>15128.392379999999</v>
      </c>
      <c r="H16" s="358">
        <f t="shared" si="0"/>
        <v>5452.51</v>
      </c>
      <c r="I16" s="358">
        <f t="shared" si="1"/>
        <v>6902.71</v>
      </c>
      <c r="J16" s="358">
        <f>T28</f>
        <v>7607.5</v>
      </c>
      <c r="K16" s="358">
        <f t="shared" si="3"/>
        <v>8143.9</v>
      </c>
      <c r="L16" s="358">
        <f t="shared" si="4"/>
        <v>8544.5</v>
      </c>
      <c r="M16" s="358">
        <f t="shared" si="5"/>
        <v>8929.5</v>
      </c>
      <c r="N16" s="368">
        <f t="shared" si="7"/>
        <v>13344</v>
      </c>
      <c r="O16" s="368">
        <f t="shared" si="8"/>
        <v>13485</v>
      </c>
      <c r="P16" s="368">
        <f t="shared" si="9"/>
        <v>13475</v>
      </c>
      <c r="Q16" s="368">
        <f t="shared" ref="Q16:AE16" si="16">SUM(Q8:Q15)</f>
        <v>13475.000000000002</v>
      </c>
      <c r="R16" s="368">
        <f t="shared" si="16"/>
        <v>13475.000000000002</v>
      </c>
      <c r="S16" s="368">
        <f t="shared" si="16"/>
        <v>13475.000000000002</v>
      </c>
      <c r="T16" s="368">
        <f t="shared" si="16"/>
        <v>796418.25</v>
      </c>
      <c r="U16" s="368">
        <f t="shared" si="16"/>
        <v>1458405.61</v>
      </c>
      <c r="V16" s="368">
        <f t="shared" si="16"/>
        <v>1434113.12</v>
      </c>
      <c r="W16" s="368">
        <f t="shared" si="16"/>
        <v>771663.46779999998</v>
      </c>
      <c r="X16" s="368">
        <f t="shared" si="16"/>
        <v>670493.29829119996</v>
      </c>
      <c r="Y16" s="368">
        <f t="shared" si="16"/>
        <v>618287.17531348485</v>
      </c>
      <c r="Z16" s="368">
        <f t="shared" si="16"/>
        <v>795795.83</v>
      </c>
      <c r="AA16" s="368">
        <f t="shared" si="16"/>
        <v>1399362.4300000002</v>
      </c>
      <c r="AB16" s="368">
        <f t="shared" si="16"/>
        <v>1518957.94</v>
      </c>
      <c r="AC16" s="368">
        <f t="shared" si="16"/>
        <v>785926.81</v>
      </c>
      <c r="AD16" s="368">
        <f t="shared" si="16"/>
        <v>684744.7</v>
      </c>
      <c r="AE16" s="368">
        <f t="shared" si="16"/>
        <v>632657.19999999995</v>
      </c>
      <c r="AF16" s="368">
        <f>SUM(AF8:AF15)</f>
        <v>50</v>
      </c>
      <c r="AG16" s="368">
        <f>SUM(AG8:AG15)</f>
        <v>60</v>
      </c>
      <c r="AH16" s="145"/>
      <c r="AI16" s="145"/>
      <c r="AJ16" s="360">
        <f>AK16+AL16+AM16+AN16+AO16+AP16+AQ16</f>
        <v>475</v>
      </c>
      <c r="AK16" s="360">
        <v>47</v>
      </c>
      <c r="AL16" s="360">
        <v>31</v>
      </c>
      <c r="AM16" s="360">
        <f t="shared" ref="AM16" si="17">AM8+AM9+AM10+AM11+AM12+AM13+AM14+AM15</f>
        <v>1</v>
      </c>
      <c r="AN16" s="360">
        <v>31</v>
      </c>
      <c r="AO16" s="360">
        <v>65</v>
      </c>
      <c r="AP16" s="360">
        <v>47</v>
      </c>
      <c r="AQ16" s="360">
        <f>SUM(AQ8:AQ15)</f>
        <v>253</v>
      </c>
      <c r="AR16" s="360">
        <f>SUM(AR8:AR15)</f>
        <v>745</v>
      </c>
      <c r="AS16" s="363">
        <f>SUM(AS8:AS15)</f>
        <v>752.45</v>
      </c>
      <c r="AT16" s="360">
        <f t="shared" ref="AT16:AW16" si="18">SUM(AT8:AT15)</f>
        <v>14</v>
      </c>
      <c r="AU16" s="360">
        <f t="shared" si="18"/>
        <v>14</v>
      </c>
      <c r="AV16" s="360">
        <f t="shared" si="18"/>
        <v>232</v>
      </c>
      <c r="AW16" s="363">
        <f t="shared" si="18"/>
        <v>234.32</v>
      </c>
      <c r="AX16" s="364">
        <f>SUM(AX8:AX15)</f>
        <v>74</v>
      </c>
      <c r="AY16" s="364">
        <f>SUM(AY8:AY15)</f>
        <v>17</v>
      </c>
      <c r="AZ16" s="364">
        <f t="shared" ref="AZ16:BC16" si="19">SUM(AZ8:AZ15)</f>
        <v>10</v>
      </c>
      <c r="BA16" s="364">
        <f t="shared" si="19"/>
        <v>6</v>
      </c>
      <c r="BB16" s="364">
        <f t="shared" si="19"/>
        <v>0</v>
      </c>
      <c r="BC16" s="364">
        <f t="shared" si="19"/>
        <v>13</v>
      </c>
    </row>
    <row r="17" spans="1:55" ht="19.5" x14ac:dyDescent="0.3">
      <c r="A17" s="133"/>
      <c r="B17" s="93"/>
      <c r="C17" s="94"/>
      <c r="D17" s="204"/>
      <c r="E17" s="204"/>
      <c r="F17" s="204"/>
      <c r="G17" s="204"/>
      <c r="H17" s="93"/>
      <c r="I17" s="94"/>
      <c r="J17" s="94"/>
      <c r="K17" s="94"/>
      <c r="L17" s="94"/>
      <c r="M17" s="94"/>
      <c r="N17" s="93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J17" s="147"/>
      <c r="AT17" s="203"/>
    </row>
    <row r="18" spans="1:55" ht="56.25" customHeight="1" x14ac:dyDescent="0.2">
      <c r="A18" s="421" t="s">
        <v>98</v>
      </c>
      <c r="B18" s="421"/>
      <c r="C18" s="421"/>
      <c r="D18" s="421"/>
      <c r="E18" s="421"/>
      <c r="F18" s="421"/>
      <c r="G18" s="421"/>
      <c r="H18" s="421"/>
      <c r="I18" s="421"/>
      <c r="J18" s="421"/>
      <c r="K18" s="421"/>
      <c r="L18" s="421"/>
      <c r="M18" s="421"/>
      <c r="N18" s="421"/>
      <c r="O18" s="421"/>
      <c r="P18" s="421"/>
      <c r="Q18" s="421"/>
      <c r="R18" s="421"/>
      <c r="S18" s="421"/>
      <c r="T18" s="421"/>
      <c r="U18" s="421"/>
      <c r="V18" s="421"/>
      <c r="W18" s="421"/>
      <c r="X18" s="421"/>
      <c r="Y18" s="421"/>
      <c r="Z18" s="421"/>
      <c r="AA18" s="421"/>
      <c r="AB18" s="421"/>
      <c r="AC18" s="421"/>
      <c r="AD18" s="421"/>
      <c r="AE18" s="421"/>
      <c r="AF18" s="421"/>
      <c r="AG18" s="421"/>
      <c r="AJ18" s="421" t="s">
        <v>98</v>
      </c>
      <c r="AK18" s="421"/>
      <c r="AL18" s="421"/>
      <c r="AM18" s="421"/>
      <c r="AN18" s="421"/>
      <c r="AO18" s="421"/>
      <c r="AP18" s="421"/>
      <c r="AQ18" s="421"/>
      <c r="AR18" s="421"/>
      <c r="AS18" s="421"/>
      <c r="AT18" s="421"/>
      <c r="AU18" s="421"/>
      <c r="AV18" s="421"/>
      <c r="AW18" s="421"/>
      <c r="AX18" s="421"/>
      <c r="AY18" s="421"/>
      <c r="AZ18" s="421"/>
      <c r="BA18" s="421"/>
      <c r="BB18" s="421"/>
      <c r="BC18" s="421"/>
    </row>
    <row r="19" spans="1:55" s="335" customFormat="1" ht="52.5" x14ac:dyDescent="0.3">
      <c r="A19" s="333" t="s">
        <v>393</v>
      </c>
      <c r="B19" s="333">
        <v>2018</v>
      </c>
      <c r="C19" s="334" t="s">
        <v>387</v>
      </c>
      <c r="D19" s="333">
        <v>2019</v>
      </c>
      <c r="E19" s="335">
        <v>2020</v>
      </c>
      <c r="F19" s="333">
        <v>2021</v>
      </c>
      <c r="G19" s="333">
        <v>2022</v>
      </c>
      <c r="H19" s="333">
        <v>2023</v>
      </c>
      <c r="I19" s="336" t="s">
        <v>446</v>
      </c>
      <c r="J19" s="335">
        <v>2024</v>
      </c>
      <c r="M19" s="337" t="s">
        <v>392</v>
      </c>
      <c r="N19" s="338">
        <v>2018</v>
      </c>
      <c r="O19" s="339" t="s">
        <v>8</v>
      </c>
      <c r="P19" s="338">
        <v>2019</v>
      </c>
      <c r="Q19" s="338">
        <v>2020</v>
      </c>
      <c r="R19" s="338">
        <v>2022</v>
      </c>
      <c r="S19" s="338">
        <v>2023</v>
      </c>
      <c r="T19" s="338">
        <v>2024</v>
      </c>
      <c r="U19" s="338">
        <v>2025</v>
      </c>
      <c r="V19" s="338">
        <v>2026</v>
      </c>
      <c r="W19" s="338">
        <v>2027</v>
      </c>
      <c r="X19" s="338"/>
      <c r="Y19" s="338"/>
      <c r="Z19" s="338"/>
      <c r="AA19" s="338"/>
      <c r="AB19" s="338"/>
      <c r="AC19" s="338"/>
      <c r="AD19" s="338"/>
      <c r="AE19" s="338"/>
      <c r="AF19" s="338"/>
      <c r="AG19" s="338">
        <v>2026</v>
      </c>
      <c r="AH19" s="338">
        <v>2027</v>
      </c>
    </row>
    <row r="20" spans="1:55" s="335" customFormat="1" ht="36.6" customHeight="1" x14ac:dyDescent="0.2">
      <c r="A20" s="340" t="s">
        <v>362</v>
      </c>
      <c r="B20" s="341">
        <v>3374</v>
      </c>
      <c r="C20" s="342">
        <f>B20/13079*100</f>
        <v>25.797079287407293</v>
      </c>
      <c r="D20" s="343">
        <f>48*C20%+B20</f>
        <v>3386.3825980579554</v>
      </c>
      <c r="E20" s="343">
        <f>12969*C20%</f>
        <v>3345.6232127838516</v>
      </c>
      <c r="F20" s="344">
        <f>$F$28*C20%</f>
        <v>3415.7912684455996</v>
      </c>
      <c r="G20" s="344">
        <f>G28*C20%</f>
        <v>3442.362260111629</v>
      </c>
      <c r="H20" s="344">
        <f>$H$28*C20%</f>
        <v>3478.7361419068734</v>
      </c>
      <c r="I20" s="345">
        <f t="shared" ref="I20:I27" si="20">AG8-AF8</f>
        <v>7</v>
      </c>
      <c r="J20" s="346">
        <f>H20-I20</f>
        <v>3471.7361419068734</v>
      </c>
      <c r="M20" s="340" t="s">
        <v>378</v>
      </c>
      <c r="N20" s="347">
        <v>714.91470127380796</v>
      </c>
      <c r="O20" s="342">
        <f>N20/N28*100</f>
        <v>16.038467779558228</v>
      </c>
      <c r="P20" s="348">
        <f>4614.897*O20%</f>
        <v>740.15876840479939</v>
      </c>
      <c r="Q20" s="348">
        <f t="shared" ref="Q20:Q28" si="21">$Q$29*O20%</f>
        <v>771.44035634672753</v>
      </c>
      <c r="R20" s="348">
        <f t="shared" ref="R20:R28" si="22">$R$29*O20%</f>
        <v>874.49905952719052</v>
      </c>
      <c r="S20" s="348">
        <f t="shared" ref="S20:S28" si="23">$S$29*O20%</f>
        <v>1107.088919266344</v>
      </c>
      <c r="T20" s="348">
        <f t="shared" ref="T20:T27" si="24">$T$29*O20%</f>
        <v>1220.1264363298924</v>
      </c>
      <c r="U20" s="348">
        <f t="shared" ref="U20:U28" si="25">$U$29*O20%</f>
        <v>1306.1567774994426</v>
      </c>
      <c r="V20" s="348">
        <f t="shared" ref="V20:V28" si="26">$V$29*O20%</f>
        <v>1370.4068794243528</v>
      </c>
      <c r="W20" s="348">
        <f t="shared" ref="W20:W28" si="27">$W$29*O20%</f>
        <v>1432.154980375652</v>
      </c>
      <c r="X20" s="349"/>
      <c r="Y20" s="349"/>
      <c r="Z20" s="349"/>
      <c r="AA20" s="349"/>
      <c r="AB20" s="349"/>
      <c r="AC20" s="349"/>
      <c r="AD20" s="349"/>
      <c r="AE20" s="349"/>
      <c r="AF20" s="349"/>
      <c r="AG20" s="349"/>
      <c r="AH20" s="349"/>
    </row>
    <row r="21" spans="1:55" s="335" customFormat="1" ht="31.5" x14ac:dyDescent="0.2">
      <c r="A21" s="340" t="s">
        <v>363</v>
      </c>
      <c r="B21" s="341">
        <v>8653</v>
      </c>
      <c r="C21" s="342">
        <f t="shared" ref="C21:C27" si="28">B21/13079*100</f>
        <v>66.1594923159263</v>
      </c>
      <c r="D21" s="343">
        <f>48*C21%+B21</f>
        <v>8684.7565563116441</v>
      </c>
      <c r="E21" s="343">
        <f>12969*C21%</f>
        <v>8580.2245584524826</v>
      </c>
      <c r="F21" s="344">
        <f>$F$28*C21%</f>
        <v>8760.1783775518015</v>
      </c>
      <c r="G21" s="344">
        <f>G28*C21%</f>
        <v>8828.3226546372061</v>
      </c>
      <c r="H21" s="344">
        <f t="shared" ref="H21:H27" si="29">$H$28*C21%</f>
        <v>8921.607538802662</v>
      </c>
      <c r="I21" s="345">
        <f t="shared" si="20"/>
        <v>2</v>
      </c>
      <c r="J21" s="346">
        <f>H21-I21</f>
        <v>8919.607538802662</v>
      </c>
      <c r="M21" s="340" t="s">
        <v>379</v>
      </c>
      <c r="N21" s="347">
        <v>3181.8038427212427</v>
      </c>
      <c r="O21" s="342">
        <f>N21/N28*100</f>
        <v>71.380905052635839</v>
      </c>
      <c r="P21" s="348">
        <f t="shared" ref="P21:P27" si="30">4614.897*O21%</f>
        <v>3294.1552458469396</v>
      </c>
      <c r="Q21" s="348">
        <f t="shared" si="21"/>
        <v>3433.3772768706513</v>
      </c>
      <c r="R21" s="348">
        <f t="shared" si="22"/>
        <v>3892.0509860854745</v>
      </c>
      <c r="S21" s="348">
        <f t="shared" si="23"/>
        <v>4927.2168711587992</v>
      </c>
      <c r="T21" s="348">
        <f t="shared" si="24"/>
        <v>5430.3023518792716</v>
      </c>
      <c r="U21" s="348">
        <f t="shared" si="25"/>
        <v>5813.1895265816092</v>
      </c>
      <c r="V21" s="348">
        <f t="shared" si="26"/>
        <v>6099.1414322224691</v>
      </c>
      <c r="W21" s="348">
        <f t="shared" si="27"/>
        <v>6373.9579166751173</v>
      </c>
      <c r="X21" s="349"/>
      <c r="Y21" s="349"/>
      <c r="Z21" s="349"/>
      <c r="AA21" s="349"/>
      <c r="AB21" s="349"/>
      <c r="AC21" s="349"/>
      <c r="AD21" s="349"/>
      <c r="AE21" s="349"/>
      <c r="AF21" s="349"/>
      <c r="AG21" s="349"/>
      <c r="AH21" s="349"/>
    </row>
    <row r="22" spans="1:55" s="335" customFormat="1" ht="31.5" x14ac:dyDescent="0.2">
      <c r="A22" s="340" t="s">
        <v>364</v>
      </c>
      <c r="B22" s="341">
        <v>768</v>
      </c>
      <c r="C22" s="342">
        <f t="shared" si="28"/>
        <v>5.8720085633458217</v>
      </c>
      <c r="D22" s="343">
        <f>48*C22%+B22</f>
        <v>770.81856411040599</v>
      </c>
      <c r="E22" s="343">
        <f t="shared" ref="E22:E27" si="31">12969*C22%</f>
        <v>761.54079058031959</v>
      </c>
      <c r="F22" s="344">
        <f t="shared" ref="F22:F27" si="32">$F$28*C22%</f>
        <v>777.51265387262026</v>
      </c>
      <c r="G22" s="344">
        <f>G28*C22%</f>
        <v>783.5608226928664</v>
      </c>
      <c r="H22" s="344">
        <f t="shared" si="29"/>
        <v>791.84035476718407</v>
      </c>
      <c r="I22" s="345">
        <f t="shared" si="20"/>
        <v>2</v>
      </c>
      <c r="J22" s="346">
        <f t="shared" ref="J22:J27" si="33">H22-I22</f>
        <v>789.84035476718407</v>
      </c>
      <c r="M22" s="340" t="s">
        <v>380</v>
      </c>
      <c r="N22" s="347">
        <v>390.49801221070561</v>
      </c>
      <c r="O22" s="342">
        <f>N22/N28*100</f>
        <v>8.7604713900326558</v>
      </c>
      <c r="P22" s="348">
        <f t="shared" si="30"/>
        <v>404.28673136447537</v>
      </c>
      <c r="Q22" s="348">
        <f t="shared" si="21"/>
        <v>421.37324236830898</v>
      </c>
      <c r="R22" s="348">
        <f t="shared" si="22"/>
        <v>477.66557858866963</v>
      </c>
      <c r="S22" s="348">
        <f t="shared" si="23"/>
        <v>604.70993468692313</v>
      </c>
      <c r="T22" s="348">
        <f t="shared" si="24"/>
        <v>666.45286099673433</v>
      </c>
      <c r="U22" s="348">
        <f t="shared" si="25"/>
        <v>713.44402953286942</v>
      </c>
      <c r="V22" s="348">
        <f t="shared" si="26"/>
        <v>748.53847792134036</v>
      </c>
      <c r="W22" s="348">
        <f t="shared" si="27"/>
        <v>782.26629277296604</v>
      </c>
      <c r="X22" s="349"/>
      <c r="Y22" s="349"/>
      <c r="Z22" s="349"/>
      <c r="AA22" s="349"/>
      <c r="AB22" s="349"/>
      <c r="AC22" s="349"/>
      <c r="AD22" s="349"/>
      <c r="AE22" s="349"/>
      <c r="AF22" s="349"/>
      <c r="AG22" s="349"/>
      <c r="AH22" s="349"/>
    </row>
    <row r="23" spans="1:55" s="335" customFormat="1" ht="31.5" x14ac:dyDescent="0.2">
      <c r="A23" s="340" t="s">
        <v>365</v>
      </c>
      <c r="B23" s="341">
        <v>129</v>
      </c>
      <c r="C23" s="342">
        <f t="shared" si="28"/>
        <v>0.98631393837449355</v>
      </c>
      <c r="D23" s="343">
        <f t="shared" ref="D23:D27" si="34">48*C23%+B23</f>
        <v>129.47343069041975</v>
      </c>
      <c r="E23" s="343">
        <f t="shared" si="31"/>
        <v>127.91505466778807</v>
      </c>
      <c r="F23" s="344">
        <f t="shared" si="32"/>
        <v>130.59782858016669</v>
      </c>
      <c r="G23" s="344">
        <f>G28*C23%</f>
        <v>131.6137319366924</v>
      </c>
      <c r="H23" s="344">
        <f t="shared" si="29"/>
        <v>133.00443458980044</v>
      </c>
      <c r="I23" s="345">
        <f t="shared" si="20"/>
        <v>0</v>
      </c>
      <c r="J23" s="346">
        <f t="shared" si="33"/>
        <v>133.00443458980044</v>
      </c>
      <c r="M23" s="340" t="s">
        <v>381</v>
      </c>
      <c r="N23" s="347">
        <v>41.353097553802151</v>
      </c>
      <c r="O23" s="342">
        <f>N23/N28*100</f>
        <v>0.92771951887385651</v>
      </c>
      <c r="P23" s="348">
        <f t="shared" si="30"/>
        <v>42.813300244924037</v>
      </c>
      <c r="Q23" s="348">
        <f t="shared" si="21"/>
        <v>44.622733671730799</v>
      </c>
      <c r="R23" s="348">
        <f t="shared" si="22"/>
        <v>50.583999538548916</v>
      </c>
      <c r="S23" s="348">
        <f t="shared" si="23"/>
        <v>64.037788001257582</v>
      </c>
      <c r="T23" s="348">
        <f t="shared" si="24"/>
        <v>70.576262398328637</v>
      </c>
      <c r="U23" s="348">
        <f t="shared" si="25"/>
        <v>75.552549897567999</v>
      </c>
      <c r="V23" s="348">
        <f t="shared" si="26"/>
        <v>79.268994290176664</v>
      </c>
      <c r="W23" s="348">
        <f t="shared" si="27"/>
        <v>82.840714437841015</v>
      </c>
      <c r="X23" s="349"/>
      <c r="Y23" s="349"/>
      <c r="Z23" s="349"/>
      <c r="AA23" s="349"/>
      <c r="AB23" s="349"/>
      <c r="AC23" s="349"/>
      <c r="AD23" s="349"/>
      <c r="AE23" s="349"/>
      <c r="AF23" s="349"/>
      <c r="AG23" s="349"/>
      <c r="AH23" s="349"/>
    </row>
    <row r="24" spans="1:55" s="335" customFormat="1" ht="31.5" x14ac:dyDescent="0.2">
      <c r="A24" s="340" t="s">
        <v>366</v>
      </c>
      <c r="B24" s="341">
        <v>37</v>
      </c>
      <c r="C24" s="342">
        <f t="shared" si="28"/>
        <v>0.28289624589035861</v>
      </c>
      <c r="D24" s="343">
        <f t="shared" si="34"/>
        <v>37.135790198027372</v>
      </c>
      <c r="E24" s="343">
        <f t="shared" si="31"/>
        <v>36.688814129520608</v>
      </c>
      <c r="F24" s="344">
        <f t="shared" si="32"/>
        <v>37.458291918342383</v>
      </c>
      <c r="G24" s="344">
        <f>G28*C24%</f>
        <v>37.749675051609451</v>
      </c>
      <c r="H24" s="344">
        <f t="shared" si="29"/>
        <v>38.148558758314856</v>
      </c>
      <c r="I24" s="345">
        <f t="shared" si="20"/>
        <v>0</v>
      </c>
      <c r="J24" s="346">
        <f t="shared" si="33"/>
        <v>38.148558758314856</v>
      </c>
      <c r="M24" s="340" t="s">
        <v>382</v>
      </c>
      <c r="N24" s="347">
        <v>81.609925508610345</v>
      </c>
      <c r="O24" s="342">
        <f>N24/N28*100</f>
        <v>1.8308452161213764</v>
      </c>
      <c r="P24" s="348">
        <f t="shared" si="30"/>
        <v>84.491620953428921</v>
      </c>
      <c r="Q24" s="348">
        <f t="shared" si="21"/>
        <v>88.062519771404212</v>
      </c>
      <c r="R24" s="348">
        <f t="shared" si="22"/>
        <v>99.827018493539668</v>
      </c>
      <c r="S24" s="348">
        <f t="shared" si="23"/>
        <v>126.37793581773187</v>
      </c>
      <c r="T24" s="348">
        <f t="shared" si="24"/>
        <v>139.28154981643371</v>
      </c>
      <c r="U24" s="348">
        <f t="shared" si="25"/>
        <v>149.10220355570877</v>
      </c>
      <c r="V24" s="348">
        <f t="shared" si="26"/>
        <v>156.43656949149101</v>
      </c>
      <c r="W24" s="348">
        <f t="shared" si="27"/>
        <v>163.4853235735583</v>
      </c>
      <c r="X24" s="349"/>
      <c r="Y24" s="349"/>
      <c r="Z24" s="349"/>
      <c r="AA24" s="349"/>
      <c r="AB24" s="349"/>
      <c r="AC24" s="349"/>
      <c r="AD24" s="349"/>
      <c r="AE24" s="349"/>
      <c r="AF24" s="349"/>
      <c r="AG24" s="349"/>
      <c r="AH24" s="349"/>
    </row>
    <row r="25" spans="1:55" s="335" customFormat="1" ht="31.5" x14ac:dyDescent="0.2">
      <c r="A25" s="340" t="s">
        <v>367</v>
      </c>
      <c r="B25" s="350">
        <v>80</v>
      </c>
      <c r="C25" s="342">
        <f t="shared" si="28"/>
        <v>0.6116675586818564</v>
      </c>
      <c r="D25" s="343">
        <f t="shared" si="34"/>
        <v>80.293600428167295</v>
      </c>
      <c r="E25" s="343">
        <f t="shared" si="31"/>
        <v>79.32716568544997</v>
      </c>
      <c r="F25" s="344">
        <f t="shared" si="32"/>
        <v>80.990901445064608</v>
      </c>
      <c r="G25" s="344">
        <f>G28*C25%</f>
        <v>81.620919030506926</v>
      </c>
      <c r="H25" s="344">
        <f t="shared" si="29"/>
        <v>82.483370288248338</v>
      </c>
      <c r="I25" s="345">
        <f t="shared" si="20"/>
        <v>0</v>
      </c>
      <c r="J25" s="346">
        <f t="shared" si="33"/>
        <v>82.483370288248338</v>
      </c>
      <c r="M25" s="340" t="s">
        <v>383</v>
      </c>
      <c r="N25" s="347">
        <v>19.800663272550249</v>
      </c>
      <c r="O25" s="342">
        <f>N25/N28*100</f>
        <v>0.4442100565911441</v>
      </c>
      <c r="P25" s="348">
        <f t="shared" si="30"/>
        <v>20.499836575323013</v>
      </c>
      <c r="Q25" s="348">
        <f t="shared" si="21"/>
        <v>21.366228311798945</v>
      </c>
      <c r="R25" s="348">
        <f t="shared" si="22"/>
        <v>24.220597756637794</v>
      </c>
      <c r="S25" s="348">
        <f t="shared" si="23"/>
        <v>30.662531997322564</v>
      </c>
      <c r="T25" s="348">
        <f t="shared" si="24"/>
        <v>33.793280055171287</v>
      </c>
      <c r="U25" s="348">
        <f t="shared" si="25"/>
        <v>36.17602279872618</v>
      </c>
      <c r="V25" s="348">
        <f t="shared" si="26"/>
        <v>37.955528285430304</v>
      </c>
      <c r="W25" s="348">
        <f t="shared" si="27"/>
        <v>39.665737003306212</v>
      </c>
      <c r="X25" s="349"/>
      <c r="Y25" s="349"/>
      <c r="Z25" s="349"/>
      <c r="AA25" s="349"/>
      <c r="AB25" s="349"/>
      <c r="AC25" s="349"/>
      <c r="AD25" s="349"/>
      <c r="AE25" s="349"/>
      <c r="AF25" s="349"/>
      <c r="AG25" s="349"/>
      <c r="AH25" s="349"/>
    </row>
    <row r="26" spans="1:55" s="335" customFormat="1" ht="31.5" x14ac:dyDescent="0.2">
      <c r="A26" s="340" t="s">
        <v>368</v>
      </c>
      <c r="B26" s="341">
        <v>33</v>
      </c>
      <c r="C26" s="342">
        <f t="shared" si="28"/>
        <v>0.25231286795626579</v>
      </c>
      <c r="D26" s="343">
        <f t="shared" si="34"/>
        <v>33.121110176619005</v>
      </c>
      <c r="E26" s="343">
        <f t="shared" si="31"/>
        <v>32.722455845248106</v>
      </c>
      <c r="F26" s="344">
        <f t="shared" si="32"/>
        <v>33.408746846089151</v>
      </c>
      <c r="G26" s="344">
        <f>G28*C26%</f>
        <v>33.668629100084104</v>
      </c>
      <c r="H26" s="344">
        <f t="shared" si="29"/>
        <v>34.024390243902438</v>
      </c>
      <c r="I26" s="345">
        <f t="shared" si="20"/>
        <v>-1</v>
      </c>
      <c r="J26" s="346">
        <f t="shared" si="33"/>
        <v>35.024390243902438</v>
      </c>
      <c r="M26" s="340" t="s">
        <v>384</v>
      </c>
      <c r="N26" s="347">
        <v>9.595184428307741</v>
      </c>
      <c r="O26" s="342">
        <f>N26/N28*100</f>
        <v>0.21525932536865375</v>
      </c>
      <c r="P26" s="348">
        <f t="shared" si="30"/>
        <v>9.93399614865824</v>
      </c>
      <c r="Q26" s="348">
        <f t="shared" si="21"/>
        <v>10.353840089450516</v>
      </c>
      <c r="R26" s="348">
        <f t="shared" si="22"/>
        <v>11.737036241658382</v>
      </c>
      <c r="S26" s="348">
        <f t="shared" si="23"/>
        <v>14.858726978154598</v>
      </c>
      <c r="T26" s="348">
        <f t="shared" si="24"/>
        <v>16.375853177420332</v>
      </c>
      <c r="U26" s="348">
        <f t="shared" si="25"/>
        <v>17.530504198697791</v>
      </c>
      <c r="V26" s="348">
        <f t="shared" si="26"/>
        <v>18.392833056124619</v>
      </c>
      <c r="W26" s="348">
        <f t="shared" si="27"/>
        <v>19.221581458793935</v>
      </c>
      <c r="X26" s="349"/>
      <c r="Y26" s="349"/>
      <c r="Z26" s="349"/>
      <c r="AA26" s="349"/>
      <c r="AB26" s="349"/>
      <c r="AC26" s="349"/>
      <c r="AD26" s="349"/>
      <c r="AE26" s="349"/>
      <c r="AF26" s="349"/>
      <c r="AG26" s="349"/>
      <c r="AH26" s="349"/>
    </row>
    <row r="27" spans="1:55" s="335" customFormat="1" ht="31.5" x14ac:dyDescent="0.2">
      <c r="A27" s="340" t="s">
        <v>369</v>
      </c>
      <c r="B27" s="350">
        <v>5</v>
      </c>
      <c r="C27" s="342">
        <f t="shared" si="28"/>
        <v>3.8229222417616025E-2</v>
      </c>
      <c r="D27" s="343">
        <f t="shared" si="34"/>
        <v>5.0183500267604559</v>
      </c>
      <c r="E27" s="343">
        <f t="shared" si="31"/>
        <v>4.9579478553406231</v>
      </c>
      <c r="F27" s="344">
        <f t="shared" si="32"/>
        <v>5.061931340316538</v>
      </c>
      <c r="G27" s="344">
        <f>G28*C27%</f>
        <v>5.1013074394066829</v>
      </c>
      <c r="H27" s="344">
        <f t="shared" si="29"/>
        <v>5.1552106430155211</v>
      </c>
      <c r="I27" s="345">
        <f t="shared" si="20"/>
        <v>0</v>
      </c>
      <c r="J27" s="346">
        <f t="shared" si="33"/>
        <v>5.1552106430155211</v>
      </c>
      <c r="M27" s="340" t="s">
        <v>385</v>
      </c>
      <c r="N27" s="347">
        <v>17.924573030973001</v>
      </c>
      <c r="O27" s="342">
        <f>N27/N28*100</f>
        <v>0.40212166081823891</v>
      </c>
      <c r="P27" s="348">
        <f t="shared" si="30"/>
        <v>18.557500461451085</v>
      </c>
      <c r="Q27" s="348">
        <f t="shared" si="21"/>
        <v>19.341802569927584</v>
      </c>
      <c r="R27" s="348">
        <f t="shared" si="22"/>
        <v>21.925723768280559</v>
      </c>
      <c r="S27" s="348">
        <f t="shared" si="23"/>
        <v>27.75729209346666</v>
      </c>
      <c r="T27" s="348">
        <f t="shared" si="24"/>
        <v>30.591405346747525</v>
      </c>
      <c r="U27" s="348">
        <f t="shared" si="25"/>
        <v>32.748385935376561</v>
      </c>
      <c r="V27" s="348">
        <f t="shared" si="26"/>
        <v>34.359285308614425</v>
      </c>
      <c r="W27" s="348">
        <f t="shared" si="27"/>
        <v>35.907453702764641</v>
      </c>
      <c r="X27" s="349"/>
      <c r="Y27" s="349"/>
      <c r="Z27" s="349"/>
      <c r="AA27" s="349"/>
      <c r="AB27" s="349"/>
      <c r="AC27" s="349"/>
      <c r="AD27" s="349"/>
      <c r="AE27" s="349"/>
      <c r="AF27" s="349"/>
      <c r="AG27" s="349"/>
      <c r="AH27" s="349"/>
      <c r="AO27" s="417"/>
      <c r="AP27" s="417"/>
    </row>
    <row r="28" spans="1:55" s="335" customFormat="1" ht="18.75" x14ac:dyDescent="0.2">
      <c r="A28" s="338"/>
      <c r="B28" s="338">
        <f>SUM(B20:B27)</f>
        <v>13079</v>
      </c>
      <c r="C28" s="342">
        <f>SUM(C20:C27)</f>
        <v>100</v>
      </c>
      <c r="D28" s="351">
        <f>SUM(D20:D27)</f>
        <v>13127</v>
      </c>
      <c r="E28" s="346">
        <f>SUM(E20:E27)</f>
        <v>12969.000000000004</v>
      </c>
      <c r="F28" s="345">
        <v>13241</v>
      </c>
      <c r="G28" s="345">
        <v>13344</v>
      </c>
      <c r="H28" s="345">
        <v>13485</v>
      </c>
      <c r="I28" s="352">
        <f>SUM(I20:I27)</f>
        <v>10</v>
      </c>
      <c r="J28" s="346">
        <f>H28-I28</f>
        <v>13475</v>
      </c>
      <c r="M28" s="338"/>
      <c r="N28" s="353">
        <f>SUM(N20:N27)</f>
        <v>4457.5</v>
      </c>
      <c r="O28" s="338">
        <f>SUM(O20:O27)</f>
        <v>100</v>
      </c>
      <c r="P28" s="348">
        <f>SUM(P20:P27)</f>
        <v>4614.896999999999</v>
      </c>
      <c r="Q28" s="348">
        <f t="shared" si="21"/>
        <v>4809.9380000000001</v>
      </c>
      <c r="R28" s="348">
        <f t="shared" si="22"/>
        <v>5452.51</v>
      </c>
      <c r="S28" s="348">
        <f t="shared" si="23"/>
        <v>6902.71</v>
      </c>
      <c r="T28" s="348">
        <f>$T$29*O28%</f>
        <v>7607.5</v>
      </c>
      <c r="U28" s="348">
        <f t="shared" si="25"/>
        <v>8143.9</v>
      </c>
      <c r="V28" s="348">
        <f t="shared" si="26"/>
        <v>8544.5</v>
      </c>
      <c r="W28" s="348">
        <f t="shared" si="27"/>
        <v>8929.5</v>
      </c>
      <c r="X28" s="349"/>
      <c r="Y28" s="349"/>
      <c r="Z28" s="349"/>
      <c r="AA28" s="349"/>
      <c r="AB28" s="349"/>
      <c r="AC28" s="349"/>
      <c r="AD28" s="349"/>
      <c r="AE28" s="349"/>
      <c r="AF28" s="349"/>
      <c r="AG28" s="349"/>
      <c r="AH28" s="349"/>
    </row>
    <row r="29" spans="1:55" s="335" customFormat="1" ht="18.75" x14ac:dyDescent="0.25">
      <c r="A29" s="338"/>
      <c r="B29" s="338"/>
      <c r="C29" s="338"/>
      <c r="D29" s="338"/>
      <c r="E29" s="338"/>
      <c r="I29" s="345" t="s">
        <v>444</v>
      </c>
      <c r="J29" s="346"/>
      <c r="M29" s="340" t="s">
        <v>386</v>
      </c>
      <c r="N29" s="338"/>
      <c r="O29" s="338"/>
      <c r="P29" s="338"/>
      <c r="Q29" s="354">
        <v>4809.9380000000001</v>
      </c>
      <c r="R29" s="355">
        <f>'Прогноз 2025-2027 '!C146</f>
        <v>5452.51</v>
      </c>
      <c r="S29" s="355">
        <f>'Прогноз 2025-2027 '!D146</f>
        <v>6902.71</v>
      </c>
      <c r="T29" s="355">
        <f>'Прогноз 2025-2027 '!E146</f>
        <v>7607.5</v>
      </c>
      <c r="U29" s="355">
        <f>'Прогноз 2025-2027 '!G146</f>
        <v>8143.9</v>
      </c>
      <c r="V29" s="355">
        <f>'Прогноз 2025-2027 '!H146</f>
        <v>8544.5</v>
      </c>
      <c r="W29" s="355">
        <f>'Прогноз 2025-2027 '!I146</f>
        <v>8929.5</v>
      </c>
      <c r="X29" s="332" t="s">
        <v>443</v>
      </c>
      <c r="Y29" s="332"/>
      <c r="Z29" s="332"/>
      <c r="AA29" s="332"/>
      <c r="AB29" s="332"/>
      <c r="AC29" s="332"/>
      <c r="AD29" s="332"/>
      <c r="AE29" s="332"/>
      <c r="AF29" s="332"/>
    </row>
    <row r="30" spans="1:55" s="335" customFormat="1" x14ac:dyDescent="0.2">
      <c r="F30" s="356"/>
      <c r="G30" s="356"/>
      <c r="H30" s="356"/>
      <c r="I30" s="356"/>
    </row>
    <row r="31" spans="1:55" s="183" customFormat="1" x14ac:dyDescent="0.2">
      <c r="A31" s="143"/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  <c r="AF31" s="143"/>
      <c r="AG31" s="143"/>
      <c r="AH31" s="143"/>
      <c r="AI31" s="143"/>
      <c r="AJ31" s="143"/>
    </row>
    <row r="32" spans="1:55" s="183" customFormat="1" x14ac:dyDescent="0.2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  <c r="AF32" s="143"/>
      <c r="AG32" s="143"/>
      <c r="AH32" s="143"/>
      <c r="AI32" s="143"/>
    </row>
    <row r="33" spans="1:35" x14ac:dyDescent="0.2">
      <c r="A33" s="143"/>
      <c r="B33" s="143"/>
      <c r="C33" s="143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</row>
    <row r="34" spans="1:35" x14ac:dyDescent="0.2">
      <c r="A34" s="143"/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  <c r="AF34" s="143"/>
      <c r="AG34" s="143"/>
      <c r="AH34" s="143"/>
      <c r="AI34" s="143"/>
    </row>
    <row r="35" spans="1:35" x14ac:dyDescent="0.2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  <c r="AF35" s="143"/>
      <c r="AG35" s="143"/>
      <c r="AH35" s="143"/>
      <c r="AI35" s="143"/>
    </row>
    <row r="36" spans="1:35" x14ac:dyDescent="0.2">
      <c r="A36" s="143"/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  <c r="AF36" s="143"/>
      <c r="AG36" s="143"/>
      <c r="AH36" s="143"/>
      <c r="AI36" s="143"/>
    </row>
    <row r="37" spans="1:35" x14ac:dyDescent="0.2">
      <c r="A37" s="143"/>
      <c r="B37" s="143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  <c r="AF37" s="143"/>
      <c r="AG37" s="143"/>
      <c r="AH37" s="143"/>
      <c r="AI37" s="143"/>
    </row>
    <row r="38" spans="1:35" x14ac:dyDescent="0.2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  <c r="AF38" s="143"/>
      <c r="AG38" s="143"/>
      <c r="AH38" s="143"/>
      <c r="AI38" s="143"/>
    </row>
    <row r="39" spans="1:35" x14ac:dyDescent="0.2">
      <c r="A39" s="143"/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  <c r="AF39" s="143"/>
      <c r="AG39" s="143"/>
      <c r="AH39" s="143"/>
      <c r="AI39" s="143"/>
    </row>
  </sheetData>
  <mergeCells count="65">
    <mergeCell ref="AY1:BC1"/>
    <mergeCell ref="S1:AI1"/>
    <mergeCell ref="A18:AG18"/>
    <mergeCell ref="BB5:BB7"/>
    <mergeCell ref="BC5:BC7"/>
    <mergeCell ref="AG6:AG7"/>
    <mergeCell ref="AF6:AF7"/>
    <mergeCell ref="AU6:AU7"/>
    <mergeCell ref="AJ18:BC18"/>
    <mergeCell ref="AT5:AU5"/>
    <mergeCell ref="K6:M6"/>
    <mergeCell ref="A4:A7"/>
    <mergeCell ref="B6:B7"/>
    <mergeCell ref="AL5:AL7"/>
    <mergeCell ref="AW6:AW7"/>
    <mergeCell ref="AY4:BC4"/>
    <mergeCell ref="AV6:AV7"/>
    <mergeCell ref="AK4:AQ4"/>
    <mergeCell ref="AK5:AK7"/>
    <mergeCell ref="AJ4:AJ7"/>
    <mergeCell ref="AM5:AM7"/>
    <mergeCell ref="AN5:AN7"/>
    <mergeCell ref="AO5:AO7"/>
    <mergeCell ref="AP5:AP7"/>
    <mergeCell ref="AQ5:AQ7"/>
    <mergeCell ref="AA6:AA7"/>
    <mergeCell ref="AO27:AP27"/>
    <mergeCell ref="B4:G5"/>
    <mergeCell ref="AF4:AG5"/>
    <mergeCell ref="AR5:AS5"/>
    <mergeCell ref="H4:M5"/>
    <mergeCell ref="AC6:AE6"/>
    <mergeCell ref="T4:Y5"/>
    <mergeCell ref="E1:G1"/>
    <mergeCell ref="E6:G6"/>
    <mergeCell ref="D6:D7"/>
    <mergeCell ref="AT6:AT7"/>
    <mergeCell ref="Z4:AE5"/>
    <mergeCell ref="AS6:AS7"/>
    <mergeCell ref="A2:AI2"/>
    <mergeCell ref="N4:S5"/>
    <mergeCell ref="Q6:S6"/>
    <mergeCell ref="N6:N7"/>
    <mergeCell ref="O6:O7"/>
    <mergeCell ref="P6:P7"/>
    <mergeCell ref="H6:H7"/>
    <mergeCell ref="I6:I7"/>
    <mergeCell ref="J6:J7"/>
    <mergeCell ref="AB6:AB7"/>
    <mergeCell ref="AY5:AY7"/>
    <mergeCell ref="AZ5:AZ7"/>
    <mergeCell ref="BA5:BA7"/>
    <mergeCell ref="C6:C7"/>
    <mergeCell ref="AH4:AI5"/>
    <mergeCell ref="AH6:AH7"/>
    <mergeCell ref="AI6:AI7"/>
    <mergeCell ref="AR4:AW4"/>
    <mergeCell ref="AR6:AR7"/>
    <mergeCell ref="AX4:AX7"/>
    <mergeCell ref="T6:T7"/>
    <mergeCell ref="U6:U7"/>
    <mergeCell ref="V6:V7"/>
    <mergeCell ref="W6:Y6"/>
    <mergeCell ref="Z6:Z7"/>
    <mergeCell ref="AV5:AW5"/>
  </mergeCells>
  <phoneticPr fontId="14" type="noConversion"/>
  <printOptions horizontalCentered="1"/>
  <pageMargins left="0" right="0" top="0.39370078740157483" bottom="0.19685039370078741" header="0" footer="0"/>
  <pageSetup paperSize="9" scale="38" orientation="landscape" horizontalDpi="300" verticalDpi="300" r:id="rId1"/>
  <headerFooter alignWithMargins="0"/>
  <colBreaks count="1" manualBreakCount="1">
    <brk id="31" max="17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50"/>
    <pageSetUpPr fitToPage="1"/>
  </sheetPr>
  <dimension ref="A1:P180"/>
  <sheetViews>
    <sheetView tabSelected="1" view="pageBreakPreview" zoomScale="75" zoomScaleNormal="75" zoomScaleSheetLayoutView="75" workbookViewId="0">
      <selection activeCell="A3" sqref="A3:N3"/>
    </sheetView>
  </sheetViews>
  <sheetFormatPr defaultRowHeight="12.75" x14ac:dyDescent="0.2"/>
  <cols>
    <col min="1" max="1" width="5.5703125" customWidth="1"/>
    <col min="2" max="2" width="46.28515625" customWidth="1"/>
    <col min="3" max="3" width="22.7109375" customWidth="1"/>
    <col min="4" max="4" width="14.5703125" customWidth="1"/>
    <col min="5" max="5" width="19.28515625" customWidth="1"/>
    <col min="6" max="6" width="21.140625" customWidth="1"/>
    <col min="7" max="7" width="19.140625" customWidth="1"/>
    <col min="8" max="8" width="20.28515625" customWidth="1"/>
    <col min="9" max="9" width="24" customWidth="1"/>
    <col min="10" max="10" width="32" customWidth="1"/>
    <col min="11" max="11" width="18.7109375" customWidth="1"/>
    <col min="12" max="12" width="16.85546875" customWidth="1"/>
    <col min="13" max="13" width="16.7109375" customWidth="1"/>
    <col min="14" max="14" width="23" customWidth="1"/>
  </cols>
  <sheetData>
    <row r="1" spans="1:16" ht="64.5" customHeight="1" x14ac:dyDescent="0.2">
      <c r="I1" s="480" t="s">
        <v>440</v>
      </c>
      <c r="J1" s="481"/>
      <c r="K1" s="481"/>
      <c r="L1" s="481"/>
      <c r="M1" s="481"/>
      <c r="N1" s="481"/>
      <c r="O1" s="88"/>
      <c r="P1" s="88"/>
    </row>
    <row r="3" spans="1:16" ht="72" customHeight="1" x14ac:dyDescent="0.2">
      <c r="A3" s="484" t="s">
        <v>436</v>
      </c>
      <c r="B3" s="484"/>
      <c r="C3" s="484"/>
      <c r="D3" s="485"/>
      <c r="E3" s="485"/>
      <c r="F3" s="485"/>
      <c r="G3" s="485"/>
      <c r="H3" s="485"/>
      <c r="I3" s="485"/>
      <c r="J3" s="485"/>
      <c r="K3" s="485"/>
      <c r="L3" s="485"/>
      <c r="M3" s="485"/>
      <c r="N3" s="485"/>
    </row>
    <row r="4" spans="1:16" ht="29.25" customHeight="1" x14ac:dyDescent="0.2">
      <c r="A4" s="91"/>
      <c r="B4" s="91"/>
      <c r="C4" s="91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</row>
    <row r="5" spans="1:16" ht="63" customHeight="1" x14ac:dyDescent="0.2">
      <c r="A5" s="488" t="s">
        <v>66</v>
      </c>
      <c r="B5" s="488" t="s">
        <v>82</v>
      </c>
      <c r="C5" s="488" t="s">
        <v>76</v>
      </c>
      <c r="D5" s="488" t="s">
        <v>77</v>
      </c>
      <c r="E5" s="488" t="s">
        <v>87</v>
      </c>
      <c r="F5" s="488"/>
      <c r="G5" s="488" t="s">
        <v>78</v>
      </c>
      <c r="H5" s="488" t="s">
        <v>79</v>
      </c>
      <c r="I5" s="488" t="s">
        <v>80</v>
      </c>
      <c r="J5" s="488"/>
      <c r="K5" s="488"/>
      <c r="L5" s="488"/>
      <c r="M5" s="486" t="s">
        <v>88</v>
      </c>
      <c r="N5" s="486" t="s">
        <v>81</v>
      </c>
    </row>
    <row r="6" spans="1:16" ht="46.5" customHeight="1" x14ac:dyDescent="0.2">
      <c r="A6" s="488"/>
      <c r="B6" s="488"/>
      <c r="C6" s="488"/>
      <c r="D6" s="488"/>
      <c r="E6" s="488"/>
      <c r="F6" s="488"/>
      <c r="G6" s="488"/>
      <c r="H6" s="488"/>
      <c r="I6" s="106" t="s">
        <v>84</v>
      </c>
      <c r="J6" s="106" t="s">
        <v>85</v>
      </c>
      <c r="K6" s="106" t="s">
        <v>86</v>
      </c>
      <c r="L6" s="106" t="s">
        <v>83</v>
      </c>
      <c r="M6" s="487"/>
      <c r="N6" s="487"/>
    </row>
    <row r="7" spans="1:16" ht="27.75" customHeight="1" x14ac:dyDescent="0.2">
      <c r="A7" s="471">
        <v>1</v>
      </c>
      <c r="B7" s="459" t="s">
        <v>278</v>
      </c>
      <c r="C7" s="462" t="s">
        <v>279</v>
      </c>
      <c r="D7" s="462" t="s">
        <v>280</v>
      </c>
      <c r="E7" s="431" t="s">
        <v>435</v>
      </c>
      <c r="F7" s="431"/>
      <c r="G7" s="187">
        <v>120</v>
      </c>
      <c r="H7" s="187">
        <f>H8+H9+H10+H11</f>
        <v>0</v>
      </c>
      <c r="I7" s="153" t="s">
        <v>281</v>
      </c>
      <c r="J7" s="161" t="s">
        <v>282</v>
      </c>
      <c r="K7" s="159"/>
      <c r="L7" s="159"/>
      <c r="M7" s="188">
        <f>M8+M9+M10+M11</f>
        <v>0</v>
      </c>
      <c r="N7" s="188">
        <v>28</v>
      </c>
    </row>
    <row r="8" spans="1:16" ht="15.75" customHeight="1" x14ac:dyDescent="0.2">
      <c r="A8" s="471"/>
      <c r="B8" s="460"/>
      <c r="C8" s="462"/>
      <c r="D8" s="462"/>
      <c r="E8" s="482">
        <v>2024</v>
      </c>
      <c r="F8" s="483">
        <v>2013</v>
      </c>
      <c r="G8" s="153"/>
      <c r="H8" s="153"/>
      <c r="I8" s="153"/>
      <c r="J8" s="153"/>
      <c r="K8" s="159"/>
      <c r="L8" s="159"/>
      <c r="M8" s="159"/>
      <c r="N8" s="162"/>
    </row>
    <row r="9" spans="1:16" ht="15.75" customHeight="1" x14ac:dyDescent="0.2">
      <c r="A9" s="471"/>
      <c r="B9" s="460"/>
      <c r="C9" s="462"/>
      <c r="D9" s="462"/>
      <c r="E9" s="431">
        <v>2025</v>
      </c>
      <c r="F9" s="431">
        <v>2013</v>
      </c>
      <c r="G9" s="153"/>
      <c r="H9" s="153"/>
      <c r="I9" s="153"/>
      <c r="J9" s="153"/>
      <c r="K9" s="159"/>
      <c r="L9" s="159"/>
      <c r="M9" s="159"/>
      <c r="N9" s="162"/>
    </row>
    <row r="10" spans="1:16" ht="15.75" customHeight="1" x14ac:dyDescent="0.2">
      <c r="A10" s="471"/>
      <c r="B10" s="460"/>
      <c r="C10" s="462"/>
      <c r="D10" s="462"/>
      <c r="E10" s="431">
        <v>2026</v>
      </c>
      <c r="F10" s="431">
        <v>2013</v>
      </c>
      <c r="G10" s="153"/>
      <c r="H10" s="153"/>
      <c r="I10" s="153"/>
      <c r="J10" s="153"/>
      <c r="K10" s="159"/>
      <c r="L10" s="159"/>
      <c r="M10" s="159"/>
      <c r="N10" s="162"/>
    </row>
    <row r="11" spans="1:16" ht="15.75" customHeight="1" x14ac:dyDescent="0.2">
      <c r="A11" s="471"/>
      <c r="B11" s="460"/>
      <c r="C11" s="462"/>
      <c r="D11" s="462"/>
      <c r="E11" s="431">
        <v>2027</v>
      </c>
      <c r="F11" s="431">
        <v>2013</v>
      </c>
      <c r="G11" s="153"/>
      <c r="H11" s="153"/>
      <c r="I11" s="153"/>
      <c r="J11" s="153"/>
      <c r="K11" s="159"/>
      <c r="L11" s="159"/>
      <c r="M11" s="159"/>
      <c r="N11" s="162"/>
    </row>
    <row r="12" spans="1:16" ht="37.5" customHeight="1" x14ac:dyDescent="0.2">
      <c r="A12" s="471">
        <v>2</v>
      </c>
      <c r="B12" s="460"/>
      <c r="C12" s="462" t="s">
        <v>283</v>
      </c>
      <c r="D12" s="462" t="s">
        <v>284</v>
      </c>
      <c r="E12" s="431" t="s">
        <v>435</v>
      </c>
      <c r="F12" s="431"/>
      <c r="G12" s="187">
        <f>G13+G14+G15+G16</f>
        <v>0</v>
      </c>
      <c r="H12" s="187">
        <f>H13+H14+H15+H16</f>
        <v>0</v>
      </c>
      <c r="I12" s="163"/>
      <c r="J12" s="159"/>
      <c r="K12" s="159"/>
      <c r="L12" s="159"/>
      <c r="M12" s="188">
        <f>M13+M14+M15+M16</f>
        <v>0</v>
      </c>
      <c r="N12" s="188">
        <f>N13+N14+N15+N16</f>
        <v>0</v>
      </c>
    </row>
    <row r="13" spans="1:16" ht="15.75" customHeight="1" x14ac:dyDescent="0.2">
      <c r="A13" s="471"/>
      <c r="B13" s="460"/>
      <c r="C13" s="462"/>
      <c r="D13" s="462"/>
      <c r="E13" s="431">
        <v>2024</v>
      </c>
      <c r="F13" s="431">
        <v>2013</v>
      </c>
      <c r="G13" s="153"/>
      <c r="H13" s="159"/>
      <c r="I13" s="163"/>
      <c r="J13" s="159"/>
      <c r="K13" s="159"/>
      <c r="L13" s="159"/>
      <c r="M13" s="159"/>
      <c r="N13" s="162"/>
    </row>
    <row r="14" spans="1:16" ht="15.75" customHeight="1" x14ac:dyDescent="0.2">
      <c r="A14" s="471"/>
      <c r="B14" s="460"/>
      <c r="C14" s="462"/>
      <c r="D14" s="462"/>
      <c r="E14" s="431">
        <v>2025</v>
      </c>
      <c r="F14" s="431">
        <v>2013</v>
      </c>
      <c r="G14" s="153"/>
      <c r="H14" s="159"/>
      <c r="I14" s="163"/>
      <c r="J14" s="159"/>
      <c r="K14" s="159"/>
      <c r="L14" s="159"/>
      <c r="M14" s="159"/>
      <c r="N14" s="162"/>
    </row>
    <row r="15" spans="1:16" ht="15.75" customHeight="1" x14ac:dyDescent="0.2">
      <c r="A15" s="471"/>
      <c r="B15" s="460"/>
      <c r="C15" s="462"/>
      <c r="D15" s="462"/>
      <c r="E15" s="431">
        <v>2026</v>
      </c>
      <c r="F15" s="431">
        <v>2013</v>
      </c>
      <c r="G15" s="153"/>
      <c r="H15" s="162"/>
      <c r="I15" s="163"/>
      <c r="J15" s="162"/>
      <c r="K15" s="159"/>
      <c r="L15" s="159"/>
      <c r="M15" s="159"/>
      <c r="N15" s="162"/>
    </row>
    <row r="16" spans="1:16" ht="27" customHeight="1" x14ac:dyDescent="0.2">
      <c r="A16" s="471"/>
      <c r="B16" s="460"/>
      <c r="C16" s="462"/>
      <c r="D16" s="462"/>
      <c r="E16" s="431">
        <v>2027</v>
      </c>
      <c r="F16" s="431">
        <v>2013</v>
      </c>
      <c r="G16" s="153"/>
      <c r="H16" s="162"/>
      <c r="I16" s="163"/>
      <c r="J16" s="162"/>
      <c r="K16" s="159"/>
      <c r="L16" s="159"/>
      <c r="M16" s="159"/>
      <c r="N16" s="162"/>
    </row>
    <row r="17" spans="1:14" ht="39.75" customHeight="1" x14ac:dyDescent="0.2">
      <c r="A17" s="448">
        <v>3</v>
      </c>
      <c r="B17" s="460"/>
      <c r="C17" s="462" t="s">
        <v>285</v>
      </c>
      <c r="D17" s="462" t="s">
        <v>286</v>
      </c>
      <c r="E17" s="431" t="s">
        <v>435</v>
      </c>
      <c r="F17" s="431"/>
      <c r="G17" s="187">
        <f>G18+G19+G20+G21</f>
        <v>0</v>
      </c>
      <c r="H17" s="187">
        <f>H18+H19+H20+H21</f>
        <v>0</v>
      </c>
      <c r="I17" s="479" t="s">
        <v>287</v>
      </c>
      <c r="J17" s="165"/>
      <c r="K17" s="159"/>
      <c r="L17" s="159"/>
      <c r="M17" s="188">
        <f>M18+M19+M20+M21</f>
        <v>0</v>
      </c>
      <c r="N17" s="188">
        <f>N18+N19+N20+N21</f>
        <v>0</v>
      </c>
    </row>
    <row r="18" spans="1:14" x14ac:dyDescent="0.2">
      <c r="A18" s="449"/>
      <c r="B18" s="460"/>
      <c r="C18" s="463"/>
      <c r="D18" s="464"/>
      <c r="E18" s="431">
        <v>2024</v>
      </c>
      <c r="F18" s="431">
        <v>2013</v>
      </c>
      <c r="G18" s="153"/>
      <c r="H18" s="153"/>
      <c r="I18" s="474"/>
      <c r="J18" s="159"/>
      <c r="K18" s="159"/>
      <c r="L18" s="159"/>
      <c r="M18" s="159"/>
      <c r="N18" s="162"/>
    </row>
    <row r="19" spans="1:14" x14ac:dyDescent="0.2">
      <c r="A19" s="449"/>
      <c r="B19" s="460"/>
      <c r="C19" s="463"/>
      <c r="D19" s="464"/>
      <c r="E19" s="431">
        <v>2025</v>
      </c>
      <c r="F19" s="431">
        <v>2013</v>
      </c>
      <c r="G19" s="153"/>
      <c r="H19" s="153"/>
      <c r="I19" s="474"/>
      <c r="J19" s="159"/>
      <c r="K19" s="159"/>
      <c r="L19" s="159"/>
      <c r="M19" s="159"/>
      <c r="N19" s="162"/>
    </row>
    <row r="20" spans="1:14" x14ac:dyDescent="0.2">
      <c r="A20" s="449"/>
      <c r="B20" s="460"/>
      <c r="C20" s="463"/>
      <c r="D20" s="464"/>
      <c r="E20" s="431">
        <v>2026</v>
      </c>
      <c r="F20" s="431">
        <v>2013</v>
      </c>
      <c r="G20" s="153"/>
      <c r="H20" s="153"/>
      <c r="I20" s="474"/>
      <c r="J20" s="159"/>
      <c r="K20" s="159"/>
      <c r="L20" s="159"/>
      <c r="M20" s="159"/>
      <c r="N20" s="162"/>
    </row>
    <row r="21" spans="1:14" ht="24" customHeight="1" x14ac:dyDescent="0.2">
      <c r="A21" s="449"/>
      <c r="B21" s="460"/>
      <c r="C21" s="463"/>
      <c r="D21" s="464"/>
      <c r="E21" s="431">
        <v>2027</v>
      </c>
      <c r="F21" s="431">
        <v>2013</v>
      </c>
      <c r="G21" s="153"/>
      <c r="H21" s="153"/>
      <c r="I21" s="475"/>
      <c r="J21" s="159"/>
      <c r="K21" s="159"/>
      <c r="L21" s="159"/>
      <c r="M21" s="159"/>
      <c r="N21" s="162"/>
    </row>
    <row r="22" spans="1:14" ht="36" customHeight="1" x14ac:dyDescent="0.2">
      <c r="A22" s="448">
        <v>4</v>
      </c>
      <c r="B22" s="460"/>
      <c r="C22" s="465" t="s">
        <v>288</v>
      </c>
      <c r="D22" s="465" t="s">
        <v>289</v>
      </c>
      <c r="E22" s="431" t="s">
        <v>435</v>
      </c>
      <c r="F22" s="431"/>
      <c r="G22" s="187">
        <f>G23+G24+G25+G26</f>
        <v>0</v>
      </c>
      <c r="H22" s="187">
        <f>H23+H24+H25+H26</f>
        <v>0</v>
      </c>
      <c r="I22" s="476" t="s">
        <v>290</v>
      </c>
      <c r="J22" s="213" t="s">
        <v>291</v>
      </c>
      <c r="K22" s="155" t="s">
        <v>292</v>
      </c>
      <c r="L22" s="159"/>
      <c r="M22" s="188">
        <f>M23+M24+M25+M26</f>
        <v>0</v>
      </c>
      <c r="N22" s="188">
        <f>N23+N24+N25+N26</f>
        <v>0</v>
      </c>
    </row>
    <row r="23" spans="1:14" x14ac:dyDescent="0.2">
      <c r="A23" s="449"/>
      <c r="B23" s="460"/>
      <c r="C23" s="466"/>
      <c r="D23" s="467"/>
      <c r="E23" s="431">
        <v>2024</v>
      </c>
      <c r="F23" s="431">
        <v>2013</v>
      </c>
      <c r="G23" s="166"/>
      <c r="H23" s="167"/>
      <c r="I23" s="477"/>
      <c r="J23" s="166">
        <v>14000</v>
      </c>
      <c r="K23" s="166">
        <v>135300</v>
      </c>
      <c r="L23" s="153"/>
      <c r="M23" s="153"/>
      <c r="N23" s="153"/>
    </row>
    <row r="24" spans="1:14" x14ac:dyDescent="0.2">
      <c r="A24" s="449"/>
      <c r="B24" s="460"/>
      <c r="C24" s="466"/>
      <c r="D24" s="467"/>
      <c r="E24" s="431">
        <v>2025</v>
      </c>
      <c r="F24" s="431">
        <v>2013</v>
      </c>
      <c r="G24" s="166"/>
      <c r="H24" s="167"/>
      <c r="I24" s="477"/>
      <c r="J24" s="166">
        <v>14000</v>
      </c>
      <c r="K24" s="166">
        <v>135300</v>
      </c>
      <c r="L24" s="153"/>
      <c r="M24" s="153"/>
      <c r="N24" s="153"/>
    </row>
    <row r="25" spans="1:14" x14ac:dyDescent="0.2">
      <c r="A25" s="449"/>
      <c r="B25" s="460"/>
      <c r="C25" s="466"/>
      <c r="D25" s="467"/>
      <c r="E25" s="431">
        <v>2026</v>
      </c>
      <c r="F25" s="431">
        <v>2013</v>
      </c>
      <c r="G25" s="166"/>
      <c r="H25" s="166"/>
      <c r="I25" s="477"/>
      <c r="J25" s="166">
        <v>14050</v>
      </c>
      <c r="K25" s="166">
        <v>135300</v>
      </c>
      <c r="L25" s="153"/>
      <c r="M25" s="153"/>
      <c r="N25" s="153"/>
    </row>
    <row r="26" spans="1:14" ht="58.5" customHeight="1" x14ac:dyDescent="0.2">
      <c r="A26" s="449"/>
      <c r="B26" s="460"/>
      <c r="C26" s="466"/>
      <c r="D26" s="467"/>
      <c r="E26" s="431">
        <v>2027</v>
      </c>
      <c r="F26" s="431">
        <v>2013</v>
      </c>
      <c r="G26" s="166"/>
      <c r="H26" s="166"/>
      <c r="I26" s="478"/>
      <c r="J26" s="166">
        <v>14200</v>
      </c>
      <c r="K26" s="166">
        <v>14000</v>
      </c>
      <c r="L26" s="153"/>
      <c r="M26" s="153"/>
      <c r="N26" s="153"/>
    </row>
    <row r="27" spans="1:14" ht="73.5" customHeight="1" x14ac:dyDescent="0.2">
      <c r="A27" s="448">
        <v>5</v>
      </c>
      <c r="B27" s="460"/>
      <c r="C27" s="463" t="s">
        <v>293</v>
      </c>
      <c r="D27" s="463" t="s">
        <v>294</v>
      </c>
      <c r="E27" s="431" t="s">
        <v>435</v>
      </c>
      <c r="F27" s="431"/>
      <c r="G27" s="187">
        <v>268</v>
      </c>
      <c r="H27" s="187">
        <f>H28+H29+H30+H31</f>
        <v>0</v>
      </c>
      <c r="I27" s="472" t="s">
        <v>295</v>
      </c>
      <c r="J27" s="153"/>
      <c r="K27" s="153"/>
      <c r="L27" s="153"/>
      <c r="M27" s="188">
        <f>M28+M29+M30+M31</f>
        <v>0</v>
      </c>
      <c r="N27" s="188">
        <v>90</v>
      </c>
    </row>
    <row r="28" spans="1:14" ht="63.75" customHeight="1" x14ac:dyDescent="0.2">
      <c r="A28" s="449"/>
      <c r="B28" s="460"/>
      <c r="C28" s="463"/>
      <c r="D28" s="463"/>
      <c r="E28" s="431">
        <v>2024</v>
      </c>
      <c r="F28" s="431">
        <v>2013</v>
      </c>
      <c r="G28" s="164"/>
      <c r="H28" s="153"/>
      <c r="I28" s="474"/>
      <c r="J28" s="153"/>
      <c r="K28" s="153"/>
      <c r="L28" s="153"/>
      <c r="M28" s="153"/>
      <c r="N28" s="153"/>
    </row>
    <row r="29" spans="1:14" ht="30.75" customHeight="1" x14ac:dyDescent="0.2">
      <c r="A29" s="449"/>
      <c r="B29" s="460"/>
      <c r="C29" s="463"/>
      <c r="D29" s="463"/>
      <c r="E29" s="431">
        <v>2025</v>
      </c>
      <c r="F29" s="431">
        <v>2013</v>
      </c>
      <c r="G29" s="164"/>
      <c r="H29" s="153"/>
      <c r="I29" s="474"/>
      <c r="J29" s="153"/>
      <c r="K29" s="153"/>
      <c r="L29" s="153"/>
      <c r="M29" s="153"/>
      <c r="N29" s="153"/>
    </row>
    <row r="30" spans="1:14" ht="40.5" customHeight="1" x14ac:dyDescent="0.2">
      <c r="A30" s="449"/>
      <c r="B30" s="460"/>
      <c r="C30" s="463"/>
      <c r="D30" s="463"/>
      <c r="E30" s="431">
        <v>2026</v>
      </c>
      <c r="F30" s="431">
        <v>2013</v>
      </c>
      <c r="G30" s="164"/>
      <c r="H30" s="153"/>
      <c r="I30" s="474"/>
      <c r="J30" s="153"/>
      <c r="K30" s="153"/>
      <c r="L30" s="153"/>
      <c r="M30" s="153"/>
      <c r="N30" s="153"/>
    </row>
    <row r="31" spans="1:14" ht="51" customHeight="1" x14ac:dyDescent="0.2">
      <c r="A31" s="449"/>
      <c r="B31" s="460"/>
      <c r="C31" s="463"/>
      <c r="D31" s="463"/>
      <c r="E31" s="431">
        <v>2027</v>
      </c>
      <c r="F31" s="431">
        <v>2013</v>
      </c>
      <c r="G31" s="164"/>
      <c r="H31" s="153"/>
      <c r="I31" s="475"/>
      <c r="J31" s="153"/>
      <c r="K31" s="153"/>
      <c r="L31" s="153"/>
      <c r="M31" s="153"/>
      <c r="N31" s="153"/>
    </row>
    <row r="32" spans="1:14" ht="27.75" customHeight="1" x14ac:dyDescent="0.2">
      <c r="A32" s="468">
        <v>6</v>
      </c>
      <c r="B32" s="460"/>
      <c r="C32" s="442" t="s">
        <v>296</v>
      </c>
      <c r="D32" s="442" t="s">
        <v>297</v>
      </c>
      <c r="E32" s="431" t="s">
        <v>435</v>
      </c>
      <c r="F32" s="431"/>
      <c r="G32" s="187">
        <f>G33+G34+G35+G36</f>
        <v>0</v>
      </c>
      <c r="H32" s="187">
        <f>H33+H34+H35+H36</f>
        <v>0</v>
      </c>
      <c r="I32" s="150"/>
      <c r="J32" s="153"/>
      <c r="K32" s="153"/>
      <c r="L32" s="153"/>
      <c r="M32" s="188">
        <f>M33+M34+M35+M36</f>
        <v>0</v>
      </c>
      <c r="N32" s="188">
        <f>N33+N34+N35+N36</f>
        <v>0</v>
      </c>
    </row>
    <row r="33" spans="1:14" ht="21.75" customHeight="1" x14ac:dyDescent="0.2">
      <c r="A33" s="469"/>
      <c r="B33" s="460"/>
      <c r="C33" s="443"/>
      <c r="D33" s="443"/>
      <c r="E33" s="431">
        <v>2024</v>
      </c>
      <c r="F33" s="431">
        <v>2013</v>
      </c>
      <c r="G33" s="164"/>
      <c r="H33" s="153"/>
      <c r="I33" s="150"/>
      <c r="J33" s="153"/>
      <c r="K33" s="153"/>
      <c r="L33" s="153"/>
      <c r="M33" s="153"/>
      <c r="N33" s="153"/>
    </row>
    <row r="34" spans="1:14" ht="40.5" customHeight="1" x14ac:dyDescent="0.2">
      <c r="A34" s="469"/>
      <c r="B34" s="460"/>
      <c r="C34" s="443"/>
      <c r="D34" s="443"/>
      <c r="E34" s="431">
        <v>2025</v>
      </c>
      <c r="F34" s="431">
        <v>2013</v>
      </c>
      <c r="G34" s="164"/>
      <c r="H34" s="153"/>
      <c r="I34" s="472" t="s">
        <v>298</v>
      </c>
      <c r="J34" s="153"/>
      <c r="K34" s="153"/>
      <c r="L34" s="153"/>
      <c r="M34" s="153"/>
      <c r="N34" s="153"/>
    </row>
    <row r="35" spans="1:14" ht="40.5" customHeight="1" x14ac:dyDescent="0.2">
      <c r="A35" s="469"/>
      <c r="B35" s="460"/>
      <c r="C35" s="443"/>
      <c r="D35" s="443"/>
      <c r="E35" s="431">
        <v>2026</v>
      </c>
      <c r="F35" s="431">
        <v>2013</v>
      </c>
      <c r="G35" s="164"/>
      <c r="H35" s="153"/>
      <c r="I35" s="473"/>
      <c r="J35" s="153"/>
      <c r="K35" s="153"/>
      <c r="L35" s="153"/>
      <c r="M35" s="153"/>
      <c r="N35" s="153"/>
    </row>
    <row r="36" spans="1:14" ht="34.5" customHeight="1" x14ac:dyDescent="0.2">
      <c r="A36" s="470"/>
      <c r="B36" s="460"/>
      <c r="C36" s="444"/>
      <c r="D36" s="444"/>
      <c r="E36" s="431">
        <v>2027</v>
      </c>
      <c r="F36" s="431">
        <v>2013</v>
      </c>
      <c r="G36" s="153"/>
      <c r="H36" s="159"/>
      <c r="I36" s="150"/>
      <c r="J36" s="153"/>
      <c r="K36" s="153"/>
      <c r="L36" s="153"/>
      <c r="M36" s="153"/>
      <c r="N36" s="153"/>
    </row>
    <row r="37" spans="1:14" ht="37.5" customHeight="1" x14ac:dyDescent="0.2">
      <c r="A37" s="448">
        <v>7</v>
      </c>
      <c r="B37" s="460"/>
      <c r="C37" s="442" t="s">
        <v>299</v>
      </c>
      <c r="D37" s="442" t="s">
        <v>300</v>
      </c>
      <c r="E37" s="431" t="s">
        <v>435</v>
      </c>
      <c r="F37" s="431"/>
      <c r="G37" s="208">
        <v>330</v>
      </c>
      <c r="H37" s="188"/>
      <c r="I37" s="168"/>
      <c r="J37" s="153"/>
      <c r="K37" s="153"/>
      <c r="L37" s="153"/>
      <c r="M37" s="153"/>
      <c r="N37" s="187">
        <v>60</v>
      </c>
    </row>
    <row r="38" spans="1:14" ht="21.75" customHeight="1" x14ac:dyDescent="0.2">
      <c r="A38" s="449"/>
      <c r="B38" s="460"/>
      <c r="C38" s="443"/>
      <c r="D38" s="443"/>
      <c r="E38" s="431">
        <v>2024</v>
      </c>
      <c r="F38" s="431">
        <v>2013</v>
      </c>
      <c r="G38" s="164"/>
      <c r="H38" s="159"/>
      <c r="I38" s="168"/>
      <c r="J38" s="153"/>
      <c r="K38" s="153"/>
      <c r="L38" s="153"/>
      <c r="M38" s="153"/>
      <c r="N38" s="153"/>
    </row>
    <row r="39" spans="1:14" ht="40.5" customHeight="1" x14ac:dyDescent="0.2">
      <c r="A39" s="449"/>
      <c r="B39" s="460"/>
      <c r="C39" s="443"/>
      <c r="D39" s="443"/>
      <c r="E39" s="431">
        <v>2025</v>
      </c>
      <c r="F39" s="431">
        <v>2013</v>
      </c>
      <c r="G39" s="164"/>
      <c r="H39" s="159"/>
      <c r="I39" s="168" t="s">
        <v>301</v>
      </c>
      <c r="J39" s="153"/>
      <c r="K39" s="153"/>
      <c r="L39" s="153"/>
      <c r="M39" s="153"/>
      <c r="N39" s="153"/>
    </row>
    <row r="40" spans="1:14" ht="21.75" customHeight="1" x14ac:dyDescent="0.2">
      <c r="A40" s="449"/>
      <c r="B40" s="460"/>
      <c r="C40" s="443"/>
      <c r="D40" s="443"/>
      <c r="E40" s="431">
        <v>2026</v>
      </c>
      <c r="F40" s="431">
        <v>2013</v>
      </c>
      <c r="G40" s="164"/>
      <c r="H40" s="159"/>
      <c r="I40" s="168"/>
      <c r="J40" s="153"/>
      <c r="K40" s="153"/>
      <c r="L40" s="153"/>
      <c r="M40" s="153"/>
      <c r="N40" s="153"/>
    </row>
    <row r="41" spans="1:14" ht="21.75" customHeight="1" x14ac:dyDescent="0.2">
      <c r="A41" s="449"/>
      <c r="B41" s="460"/>
      <c r="C41" s="444"/>
      <c r="D41" s="444"/>
      <c r="E41" s="431">
        <v>2027</v>
      </c>
      <c r="F41" s="431">
        <v>2013</v>
      </c>
      <c r="G41" s="164"/>
      <c r="H41" s="159"/>
      <c r="I41" s="168"/>
      <c r="J41" s="153"/>
      <c r="K41" s="153"/>
      <c r="L41" s="153"/>
      <c r="M41" s="153"/>
      <c r="N41" s="153"/>
    </row>
    <row r="42" spans="1:14" ht="33.75" customHeight="1" x14ac:dyDescent="0.2">
      <c r="A42" s="448">
        <v>8</v>
      </c>
      <c r="B42" s="460"/>
      <c r="C42" s="451" t="s">
        <v>302</v>
      </c>
      <c r="D42" s="442" t="s">
        <v>303</v>
      </c>
      <c r="E42" s="431" t="s">
        <v>435</v>
      </c>
      <c r="F42" s="431"/>
      <c r="G42" s="187">
        <f>G43+G44+G45+G46</f>
        <v>4200</v>
      </c>
      <c r="H42" s="187">
        <f>H43+H44+H45+H46</f>
        <v>0</v>
      </c>
      <c r="I42" s="442" t="s">
        <v>304</v>
      </c>
      <c r="J42" s="153"/>
      <c r="K42" s="153"/>
      <c r="L42" s="153"/>
      <c r="M42" s="188">
        <f>M43+M44+M45+M46</f>
        <v>0</v>
      </c>
      <c r="N42" s="188">
        <f>N43+N44+N45+N46</f>
        <v>0</v>
      </c>
    </row>
    <row r="43" spans="1:14" ht="21.75" customHeight="1" x14ac:dyDescent="0.2">
      <c r="A43" s="449"/>
      <c r="B43" s="460"/>
      <c r="C43" s="452"/>
      <c r="D43" s="443"/>
      <c r="E43" s="431">
        <v>2024</v>
      </c>
      <c r="F43" s="431">
        <v>2013</v>
      </c>
      <c r="G43" s="164"/>
      <c r="H43" s="159"/>
      <c r="I43" s="443"/>
      <c r="J43" s="153"/>
      <c r="K43" s="153"/>
      <c r="L43" s="153"/>
      <c r="M43" s="153"/>
      <c r="N43" s="153"/>
    </row>
    <row r="44" spans="1:14" ht="21.75" customHeight="1" x14ac:dyDescent="0.2">
      <c r="A44" s="449"/>
      <c r="B44" s="460"/>
      <c r="C44" s="452"/>
      <c r="D44" s="443"/>
      <c r="E44" s="431">
        <v>2025</v>
      </c>
      <c r="F44" s="431">
        <v>2013</v>
      </c>
      <c r="G44" s="164">
        <v>1400</v>
      </c>
      <c r="H44" s="159"/>
      <c r="I44" s="443"/>
      <c r="J44" s="153"/>
      <c r="K44" s="153"/>
      <c r="L44" s="153"/>
      <c r="M44" s="153"/>
      <c r="N44" s="153"/>
    </row>
    <row r="45" spans="1:14" ht="21.75" customHeight="1" x14ac:dyDescent="0.2">
      <c r="A45" s="449"/>
      <c r="B45" s="460"/>
      <c r="C45" s="452"/>
      <c r="D45" s="443"/>
      <c r="E45" s="431">
        <v>2026</v>
      </c>
      <c r="F45" s="431">
        <v>2013</v>
      </c>
      <c r="G45" s="164">
        <v>1400</v>
      </c>
      <c r="H45" s="159"/>
      <c r="I45" s="443"/>
      <c r="J45" s="153"/>
      <c r="K45" s="153"/>
      <c r="L45" s="153"/>
      <c r="M45" s="153"/>
      <c r="N45" s="153"/>
    </row>
    <row r="46" spans="1:14" ht="33" customHeight="1" x14ac:dyDescent="0.2">
      <c r="A46" s="449"/>
      <c r="B46" s="460"/>
      <c r="C46" s="453"/>
      <c r="D46" s="444"/>
      <c r="E46" s="431">
        <v>2027</v>
      </c>
      <c r="F46" s="431">
        <v>2013</v>
      </c>
      <c r="G46" s="164">
        <v>1400</v>
      </c>
      <c r="H46" s="159"/>
      <c r="I46" s="444"/>
      <c r="J46" s="153"/>
      <c r="K46" s="153"/>
      <c r="L46" s="153"/>
      <c r="M46" s="153"/>
      <c r="N46" s="153"/>
    </row>
    <row r="47" spans="1:14" ht="33" customHeight="1" x14ac:dyDescent="0.2">
      <c r="A47" s="448">
        <v>9</v>
      </c>
      <c r="B47" s="460"/>
      <c r="C47" s="442" t="s">
        <v>305</v>
      </c>
      <c r="D47" s="442" t="s">
        <v>306</v>
      </c>
      <c r="E47" s="431" t="s">
        <v>435</v>
      </c>
      <c r="F47" s="431"/>
      <c r="G47" s="187">
        <f>G48+G49+G50+G51</f>
        <v>0</v>
      </c>
      <c r="H47" s="187">
        <f>H48+H49+H50+H51</f>
        <v>0</v>
      </c>
      <c r="I47" s="442" t="s">
        <v>307</v>
      </c>
      <c r="J47" s="153"/>
      <c r="K47" s="153"/>
      <c r="L47" s="153"/>
      <c r="M47" s="188">
        <f>M48+M49+M50+M51</f>
        <v>0</v>
      </c>
      <c r="N47" s="188">
        <f>N48+N49+N50+N51</f>
        <v>0</v>
      </c>
    </row>
    <row r="48" spans="1:14" ht="33" customHeight="1" x14ac:dyDescent="0.2">
      <c r="A48" s="449"/>
      <c r="B48" s="460"/>
      <c r="C48" s="443"/>
      <c r="D48" s="443"/>
      <c r="E48" s="431">
        <v>2024</v>
      </c>
      <c r="F48" s="431">
        <v>2013</v>
      </c>
      <c r="G48" s="164"/>
      <c r="H48" s="159"/>
      <c r="I48" s="443"/>
      <c r="J48" s="153"/>
      <c r="K48" s="153"/>
      <c r="L48" s="153"/>
      <c r="M48" s="153"/>
      <c r="N48" s="153"/>
    </row>
    <row r="49" spans="1:14" ht="33" customHeight="1" x14ac:dyDescent="0.2">
      <c r="A49" s="449"/>
      <c r="B49" s="460"/>
      <c r="C49" s="443"/>
      <c r="D49" s="443"/>
      <c r="E49" s="431">
        <v>2025</v>
      </c>
      <c r="F49" s="431">
        <v>2013</v>
      </c>
      <c r="G49" s="164"/>
      <c r="H49" s="159"/>
      <c r="I49" s="443"/>
      <c r="J49" s="153"/>
      <c r="K49" s="153"/>
      <c r="L49" s="153"/>
      <c r="M49" s="153"/>
      <c r="N49" s="153"/>
    </row>
    <row r="50" spans="1:14" ht="33" customHeight="1" x14ac:dyDescent="0.2">
      <c r="A50" s="449"/>
      <c r="B50" s="460"/>
      <c r="C50" s="443"/>
      <c r="D50" s="443"/>
      <c r="E50" s="431">
        <v>2026</v>
      </c>
      <c r="F50" s="431">
        <v>2013</v>
      </c>
      <c r="G50" s="164"/>
      <c r="H50" s="159"/>
      <c r="I50" s="443"/>
      <c r="J50" s="153"/>
      <c r="K50" s="153"/>
      <c r="L50" s="153"/>
      <c r="M50" s="153"/>
      <c r="N50" s="153"/>
    </row>
    <row r="51" spans="1:14" ht="33" customHeight="1" x14ac:dyDescent="0.2">
      <c r="A51" s="449"/>
      <c r="B51" s="460"/>
      <c r="C51" s="444"/>
      <c r="D51" s="444"/>
      <c r="E51" s="431">
        <v>2027</v>
      </c>
      <c r="F51" s="431">
        <v>2013</v>
      </c>
      <c r="G51" s="164"/>
      <c r="H51" s="159"/>
      <c r="I51" s="444"/>
      <c r="J51" s="153"/>
      <c r="K51" s="153"/>
      <c r="L51" s="153"/>
      <c r="M51" s="153"/>
      <c r="N51" s="153"/>
    </row>
    <row r="52" spans="1:14" ht="33" customHeight="1" x14ac:dyDescent="0.2">
      <c r="A52" s="448">
        <v>10</v>
      </c>
      <c r="B52" s="461"/>
      <c r="C52" s="442" t="s">
        <v>394</v>
      </c>
      <c r="D52" s="442" t="s">
        <v>395</v>
      </c>
      <c r="E52" s="431" t="s">
        <v>435</v>
      </c>
      <c r="F52" s="431"/>
      <c r="G52" s="187">
        <f>G53+G54+G55+G56</f>
        <v>0</v>
      </c>
      <c r="H52" s="187">
        <f>H53+H54+H55+H56</f>
        <v>0</v>
      </c>
      <c r="I52" s="442" t="s">
        <v>308</v>
      </c>
      <c r="J52" s="151"/>
      <c r="K52" s="153"/>
      <c r="L52" s="153"/>
      <c r="M52" s="188">
        <f>M53+M54+M55+M56</f>
        <v>0</v>
      </c>
      <c r="N52" s="188">
        <f>N53+N54+N55+N56</f>
        <v>0</v>
      </c>
    </row>
    <row r="53" spans="1:14" ht="33" customHeight="1" x14ac:dyDescent="0.2">
      <c r="A53" s="449"/>
      <c r="B53" s="461"/>
      <c r="C53" s="443"/>
      <c r="D53" s="443"/>
      <c r="E53" s="431">
        <v>2024</v>
      </c>
      <c r="F53" s="431">
        <v>2013</v>
      </c>
      <c r="G53" s="164"/>
      <c r="H53" s="159"/>
      <c r="I53" s="426"/>
      <c r="J53" s="151"/>
      <c r="K53" s="153"/>
      <c r="L53" s="153"/>
      <c r="M53" s="153"/>
      <c r="N53" s="153"/>
    </row>
    <row r="54" spans="1:14" ht="33" customHeight="1" x14ac:dyDescent="0.2">
      <c r="A54" s="449"/>
      <c r="B54" s="461"/>
      <c r="C54" s="443"/>
      <c r="D54" s="443"/>
      <c r="E54" s="431">
        <v>2025</v>
      </c>
      <c r="F54" s="431">
        <v>2013</v>
      </c>
      <c r="G54" s="164"/>
      <c r="H54" s="159"/>
      <c r="I54" s="426"/>
      <c r="J54" s="151"/>
      <c r="K54" s="153"/>
      <c r="L54" s="153"/>
      <c r="M54" s="153"/>
      <c r="N54" s="153"/>
    </row>
    <row r="55" spans="1:14" ht="33" customHeight="1" x14ac:dyDescent="0.2">
      <c r="A55" s="449"/>
      <c r="B55" s="461"/>
      <c r="C55" s="443"/>
      <c r="D55" s="443"/>
      <c r="E55" s="431">
        <v>2026</v>
      </c>
      <c r="F55" s="431">
        <v>2013</v>
      </c>
      <c r="G55" s="164"/>
      <c r="H55" s="159"/>
      <c r="I55" s="426"/>
      <c r="J55" s="151" t="s">
        <v>309</v>
      </c>
      <c r="K55" s="153"/>
      <c r="L55" s="153"/>
      <c r="M55" s="153"/>
      <c r="N55" s="153"/>
    </row>
    <row r="56" spans="1:14" ht="33" customHeight="1" x14ac:dyDescent="0.2">
      <c r="A56" s="449"/>
      <c r="B56" s="461"/>
      <c r="C56" s="444"/>
      <c r="D56" s="444"/>
      <c r="E56" s="431">
        <v>2027</v>
      </c>
      <c r="F56" s="431">
        <v>2013</v>
      </c>
      <c r="G56" s="164"/>
      <c r="H56" s="159"/>
      <c r="I56" s="427"/>
      <c r="J56" s="151"/>
      <c r="K56" s="153"/>
      <c r="L56" s="153"/>
      <c r="M56" s="153"/>
      <c r="N56" s="153"/>
    </row>
    <row r="57" spans="1:14" ht="33" customHeight="1" x14ac:dyDescent="0.2">
      <c r="A57" s="448">
        <v>11</v>
      </c>
      <c r="B57" s="461"/>
      <c r="C57" s="442" t="s">
        <v>310</v>
      </c>
      <c r="D57" s="451" t="s">
        <v>311</v>
      </c>
      <c r="E57" s="431" t="s">
        <v>435</v>
      </c>
      <c r="F57" s="431"/>
      <c r="G57" s="187">
        <f>G58+G59+G60+G61</f>
        <v>0</v>
      </c>
      <c r="H57" s="187">
        <f>H58+H59+H60+H61</f>
        <v>0</v>
      </c>
      <c r="I57" s="168"/>
      <c r="J57" s="153"/>
      <c r="K57" s="153"/>
      <c r="L57" s="153"/>
      <c r="M57" s="188">
        <f>M58+M59+M60+M61</f>
        <v>0</v>
      </c>
      <c r="N57" s="188">
        <f>N58+N59+N60+N61</f>
        <v>0</v>
      </c>
    </row>
    <row r="58" spans="1:14" ht="33" customHeight="1" x14ac:dyDescent="0.2">
      <c r="A58" s="449"/>
      <c r="B58" s="461"/>
      <c r="C58" s="443"/>
      <c r="D58" s="452"/>
      <c r="E58" s="431">
        <v>2024</v>
      </c>
      <c r="F58" s="431">
        <v>2013</v>
      </c>
      <c r="G58" s="164"/>
      <c r="H58" s="159"/>
      <c r="I58" s="17"/>
      <c r="J58" s="153"/>
      <c r="K58" s="153"/>
      <c r="L58" s="153"/>
      <c r="M58" s="153"/>
      <c r="N58" s="153"/>
    </row>
    <row r="59" spans="1:14" ht="48" customHeight="1" x14ac:dyDescent="0.2">
      <c r="A59" s="449"/>
      <c r="B59" s="461"/>
      <c r="C59" s="443"/>
      <c r="D59" s="452"/>
      <c r="E59" s="431">
        <v>2025</v>
      </c>
      <c r="F59" s="431">
        <v>2013</v>
      </c>
      <c r="G59" s="164"/>
      <c r="H59" s="159"/>
      <c r="I59" s="151"/>
      <c r="J59" s="168" t="s">
        <v>312</v>
      </c>
      <c r="K59" s="153"/>
      <c r="L59" s="153"/>
      <c r="M59" s="153"/>
      <c r="N59" s="153"/>
    </row>
    <row r="60" spans="1:14" ht="63.75" customHeight="1" x14ac:dyDescent="0.2">
      <c r="A60" s="449"/>
      <c r="B60" s="461"/>
      <c r="C60" s="443"/>
      <c r="D60" s="452"/>
      <c r="E60" s="431">
        <v>2026</v>
      </c>
      <c r="F60" s="431">
        <v>2013</v>
      </c>
      <c r="G60" s="164"/>
      <c r="H60" s="159"/>
      <c r="I60" s="151"/>
      <c r="J60" s="161"/>
      <c r="K60" s="161" t="s">
        <v>313</v>
      </c>
      <c r="L60" s="153"/>
      <c r="M60" s="153"/>
      <c r="N60" s="153"/>
    </row>
    <row r="61" spans="1:14" ht="49.5" customHeight="1" x14ac:dyDescent="0.2">
      <c r="A61" s="449"/>
      <c r="B61" s="461"/>
      <c r="C61" s="444"/>
      <c r="D61" s="453"/>
      <c r="E61" s="431">
        <v>2027</v>
      </c>
      <c r="F61" s="431">
        <v>2013</v>
      </c>
      <c r="G61" s="164"/>
      <c r="H61" s="159"/>
      <c r="I61" s="151"/>
      <c r="J61" s="153"/>
      <c r="K61" s="152"/>
      <c r="L61" s="161" t="s">
        <v>310</v>
      </c>
      <c r="M61" s="153"/>
      <c r="N61" s="153"/>
    </row>
    <row r="62" spans="1:14" ht="33" customHeight="1" x14ac:dyDescent="0.2">
      <c r="A62" s="448">
        <v>12</v>
      </c>
      <c r="B62" s="461"/>
      <c r="C62" s="451" t="s">
        <v>314</v>
      </c>
      <c r="D62" s="451" t="s">
        <v>396</v>
      </c>
      <c r="E62" s="431" t="s">
        <v>435</v>
      </c>
      <c r="F62" s="431"/>
      <c r="G62" s="187">
        <f>G63+G64+G65+G66</f>
        <v>564</v>
      </c>
      <c r="H62" s="187">
        <f>H63+H64+H65+H66</f>
        <v>0</v>
      </c>
      <c r="I62" s="168"/>
      <c r="J62" s="153"/>
      <c r="K62" s="153"/>
      <c r="L62" s="153"/>
      <c r="M62" s="188">
        <f>M63+M64+M65+M66</f>
        <v>0</v>
      </c>
      <c r="N62" s="188">
        <f>N63+N64+N65+N66</f>
        <v>0</v>
      </c>
    </row>
    <row r="63" spans="1:14" ht="75" customHeight="1" x14ac:dyDescent="0.2">
      <c r="A63" s="449"/>
      <c r="B63" s="461"/>
      <c r="C63" s="452"/>
      <c r="D63" s="452"/>
      <c r="E63" s="431">
        <v>2024</v>
      </c>
      <c r="F63" s="431">
        <v>2013</v>
      </c>
      <c r="G63" s="164"/>
      <c r="H63" s="159"/>
      <c r="I63" s="168" t="s">
        <v>315</v>
      </c>
      <c r="J63" s="151"/>
      <c r="K63" s="153"/>
      <c r="L63" s="153"/>
      <c r="M63" s="153"/>
      <c r="N63" s="153"/>
    </row>
    <row r="64" spans="1:14" ht="33" customHeight="1" x14ac:dyDescent="0.2">
      <c r="A64" s="449"/>
      <c r="B64" s="461"/>
      <c r="C64" s="452"/>
      <c r="D64" s="452"/>
      <c r="E64" s="431">
        <v>2025</v>
      </c>
      <c r="F64" s="431">
        <v>2013</v>
      </c>
      <c r="G64" s="164">
        <v>188</v>
      </c>
      <c r="H64" s="159"/>
      <c r="I64" s="151"/>
      <c r="J64" s="168" t="s">
        <v>312</v>
      </c>
      <c r="K64" s="153"/>
      <c r="L64" s="153"/>
      <c r="M64" s="153"/>
      <c r="N64" s="153"/>
    </row>
    <row r="65" spans="1:14" ht="64.5" customHeight="1" x14ac:dyDescent="0.2">
      <c r="A65" s="449"/>
      <c r="B65" s="461"/>
      <c r="C65" s="452"/>
      <c r="D65" s="452"/>
      <c r="E65" s="431">
        <v>2026</v>
      </c>
      <c r="F65" s="431">
        <v>2013</v>
      </c>
      <c r="G65" s="164">
        <v>188</v>
      </c>
      <c r="H65" s="159"/>
      <c r="I65" s="151"/>
      <c r="J65" s="151"/>
      <c r="K65" s="161" t="s">
        <v>313</v>
      </c>
      <c r="L65" s="169"/>
      <c r="M65" s="153"/>
      <c r="N65" s="153"/>
    </row>
    <row r="66" spans="1:14" ht="47.25" customHeight="1" x14ac:dyDescent="0.2">
      <c r="A66" s="449"/>
      <c r="B66" s="461"/>
      <c r="C66" s="453"/>
      <c r="D66" s="453"/>
      <c r="E66" s="431">
        <v>2027</v>
      </c>
      <c r="F66" s="431">
        <v>2013</v>
      </c>
      <c r="G66" s="164">
        <v>188</v>
      </c>
      <c r="H66" s="159"/>
      <c r="I66" s="151"/>
      <c r="J66" s="151"/>
      <c r="K66" s="154"/>
      <c r="L66" s="169" t="s">
        <v>314</v>
      </c>
      <c r="M66" s="153"/>
      <c r="N66" s="153"/>
    </row>
    <row r="67" spans="1:14" ht="39.75" customHeight="1" x14ac:dyDescent="0.2">
      <c r="A67" s="448">
        <v>13</v>
      </c>
      <c r="B67" s="461"/>
      <c r="C67" s="451" t="s">
        <v>316</v>
      </c>
      <c r="D67" s="451" t="s">
        <v>317</v>
      </c>
      <c r="E67" s="431" t="s">
        <v>435</v>
      </c>
      <c r="F67" s="431"/>
      <c r="G67" s="187">
        <f>G68+G69+G70+G71</f>
        <v>0</v>
      </c>
      <c r="H67" s="187">
        <f>H68+H69+H70+H71</f>
        <v>0</v>
      </c>
      <c r="I67" s="170"/>
      <c r="J67" s="170" t="s">
        <v>312</v>
      </c>
      <c r="K67" s="153"/>
      <c r="L67" s="153"/>
      <c r="M67" s="188">
        <f>M68+M69+M70+M71</f>
        <v>0</v>
      </c>
      <c r="N67" s="188">
        <f>N68+N69+N70+N71</f>
        <v>0</v>
      </c>
    </row>
    <row r="68" spans="1:14" ht="57.75" customHeight="1" x14ac:dyDescent="0.2">
      <c r="A68" s="449"/>
      <c r="B68" s="461"/>
      <c r="C68" s="452"/>
      <c r="D68" s="452"/>
      <c r="E68" s="431">
        <v>2024</v>
      </c>
      <c r="F68" s="431">
        <v>2013</v>
      </c>
      <c r="G68" s="167"/>
      <c r="H68" s="155"/>
      <c r="I68" s="155"/>
      <c r="J68" s="155"/>
      <c r="K68" s="153"/>
      <c r="L68" s="153"/>
      <c r="M68" s="153"/>
      <c r="N68" s="153"/>
    </row>
    <row r="69" spans="1:14" ht="33" customHeight="1" x14ac:dyDescent="0.2">
      <c r="A69" s="449"/>
      <c r="B69" s="461"/>
      <c r="C69" s="452"/>
      <c r="D69" s="452"/>
      <c r="E69" s="431">
        <v>2025</v>
      </c>
      <c r="F69" s="431">
        <v>2013</v>
      </c>
      <c r="G69" s="167"/>
      <c r="H69" s="155"/>
      <c r="I69" s="156"/>
      <c r="J69" s="156"/>
      <c r="K69" s="153"/>
      <c r="L69" s="153"/>
      <c r="M69" s="153"/>
      <c r="N69" s="153"/>
    </row>
    <row r="70" spans="1:14" ht="33" customHeight="1" x14ac:dyDescent="0.2">
      <c r="A70" s="449"/>
      <c r="B70" s="461"/>
      <c r="C70" s="452"/>
      <c r="D70" s="452"/>
      <c r="E70" s="431">
        <v>2026</v>
      </c>
      <c r="F70" s="431">
        <v>2013</v>
      </c>
      <c r="G70" s="167"/>
      <c r="H70" s="155"/>
      <c r="I70" s="156"/>
      <c r="J70" s="157"/>
      <c r="K70" s="153"/>
      <c r="L70" s="153"/>
      <c r="M70" s="153"/>
      <c r="N70" s="153"/>
    </row>
    <row r="71" spans="1:14" ht="33" customHeight="1" x14ac:dyDescent="0.2">
      <c r="A71" s="449"/>
      <c r="B71" s="461"/>
      <c r="C71" s="453"/>
      <c r="D71" s="453"/>
      <c r="E71" s="431">
        <v>2027</v>
      </c>
      <c r="F71" s="431">
        <v>2013</v>
      </c>
      <c r="G71" s="167"/>
      <c r="H71" s="155"/>
      <c r="I71" s="156"/>
      <c r="J71" s="157"/>
      <c r="K71" s="153"/>
      <c r="L71" s="153"/>
      <c r="M71" s="153"/>
      <c r="N71" s="153"/>
    </row>
    <row r="72" spans="1:14" ht="33" customHeight="1" x14ac:dyDescent="0.2">
      <c r="A72" s="448">
        <v>14</v>
      </c>
      <c r="B72" s="461"/>
      <c r="C72" s="451" t="s">
        <v>318</v>
      </c>
      <c r="D72" s="442" t="s">
        <v>319</v>
      </c>
      <c r="E72" s="431" t="s">
        <v>435</v>
      </c>
      <c r="F72" s="431"/>
      <c r="G72" s="187">
        <f>G73+G74+G75+G76</f>
        <v>3941.9000000000005</v>
      </c>
      <c r="H72" s="187">
        <f>H73+H74+H75+H76</f>
        <v>0</v>
      </c>
      <c r="I72" s="151"/>
      <c r="J72" s="158"/>
      <c r="K72" s="153"/>
      <c r="L72" s="153"/>
      <c r="M72" s="188">
        <f>M73+M74+M75+M76</f>
        <v>0</v>
      </c>
      <c r="N72" s="188">
        <f>N73+N74+N75+N76</f>
        <v>0</v>
      </c>
    </row>
    <row r="73" spans="1:14" ht="192.75" customHeight="1" x14ac:dyDescent="0.2">
      <c r="A73" s="449"/>
      <c r="B73" s="461"/>
      <c r="C73" s="452"/>
      <c r="D73" s="443"/>
      <c r="E73" s="431">
        <v>2024</v>
      </c>
      <c r="F73" s="431">
        <v>2013</v>
      </c>
      <c r="G73" s="171"/>
      <c r="H73" s="159"/>
      <c r="I73" s="450" t="s">
        <v>320</v>
      </c>
      <c r="J73" s="442" t="s">
        <v>321</v>
      </c>
      <c r="K73" s="442" t="s">
        <v>322</v>
      </c>
      <c r="L73" s="153"/>
      <c r="M73" s="153"/>
      <c r="N73" s="153"/>
    </row>
    <row r="74" spans="1:14" ht="63.75" customHeight="1" x14ac:dyDescent="0.2">
      <c r="A74" s="449"/>
      <c r="B74" s="461"/>
      <c r="C74" s="452"/>
      <c r="D74" s="443"/>
      <c r="E74" s="431">
        <v>2025</v>
      </c>
      <c r="F74" s="431">
        <v>2013</v>
      </c>
      <c r="G74" s="164">
        <v>1824.9</v>
      </c>
      <c r="H74" s="159"/>
      <c r="I74" s="426"/>
      <c r="J74" s="443"/>
      <c r="K74" s="426"/>
      <c r="L74" s="153"/>
      <c r="M74" s="153"/>
      <c r="N74" s="153"/>
    </row>
    <row r="75" spans="1:14" ht="243" customHeight="1" x14ac:dyDescent="0.2">
      <c r="A75" s="449"/>
      <c r="B75" s="461"/>
      <c r="C75" s="452"/>
      <c r="D75" s="443"/>
      <c r="E75" s="431">
        <v>2026</v>
      </c>
      <c r="F75" s="431">
        <v>2013</v>
      </c>
      <c r="G75" s="164">
        <v>1138.7</v>
      </c>
      <c r="H75" s="159"/>
      <c r="I75" s="427"/>
      <c r="J75" s="444"/>
      <c r="K75" s="427"/>
      <c r="L75" s="153"/>
      <c r="M75" s="153"/>
      <c r="N75" s="153"/>
    </row>
    <row r="76" spans="1:14" ht="22.5" customHeight="1" x14ac:dyDescent="0.2">
      <c r="A76" s="449"/>
      <c r="B76" s="461"/>
      <c r="C76" s="453"/>
      <c r="D76" s="444"/>
      <c r="E76" s="431">
        <v>2027</v>
      </c>
      <c r="F76" s="431">
        <v>2013</v>
      </c>
      <c r="G76" s="164">
        <v>978.3</v>
      </c>
      <c r="H76" s="159"/>
      <c r="I76" s="151"/>
      <c r="J76" s="158"/>
      <c r="K76" s="153"/>
      <c r="L76" s="153"/>
      <c r="M76" s="153"/>
      <c r="N76" s="153"/>
    </row>
    <row r="77" spans="1:14" ht="28.5" customHeight="1" x14ac:dyDescent="0.2">
      <c r="A77" s="448">
        <v>15</v>
      </c>
      <c r="B77" s="461"/>
      <c r="C77" s="456" t="s">
        <v>323</v>
      </c>
      <c r="D77" s="442" t="s">
        <v>324</v>
      </c>
      <c r="E77" s="431" t="s">
        <v>435</v>
      </c>
      <c r="F77" s="431"/>
      <c r="G77" s="187">
        <f>G78+G79+G80+G81</f>
        <v>0</v>
      </c>
      <c r="H77" s="187">
        <f>H78+H79+H80+H81</f>
        <v>0</v>
      </c>
      <c r="I77" s="151"/>
      <c r="J77" s="158"/>
      <c r="K77" s="153"/>
      <c r="L77" s="153"/>
      <c r="M77" s="188">
        <f>M78+M79+M80+M81</f>
        <v>0</v>
      </c>
      <c r="N77" s="188">
        <f>N78+N79+N80+N81</f>
        <v>0</v>
      </c>
    </row>
    <row r="78" spans="1:14" ht="22.5" customHeight="1" x14ac:dyDescent="0.2">
      <c r="A78" s="449"/>
      <c r="B78" s="461"/>
      <c r="C78" s="457"/>
      <c r="D78" s="443"/>
      <c r="E78" s="431">
        <v>2024</v>
      </c>
      <c r="F78" s="431">
        <v>2013</v>
      </c>
      <c r="G78" s="164"/>
      <c r="H78" s="159"/>
      <c r="I78" s="151"/>
      <c r="J78" s="158"/>
      <c r="K78" s="153"/>
      <c r="L78" s="153"/>
      <c r="M78" s="153"/>
      <c r="N78" s="153"/>
    </row>
    <row r="79" spans="1:14" ht="22.5" customHeight="1" x14ac:dyDescent="0.2">
      <c r="A79" s="449"/>
      <c r="B79" s="461"/>
      <c r="C79" s="457"/>
      <c r="D79" s="443"/>
      <c r="E79" s="431">
        <v>2025</v>
      </c>
      <c r="F79" s="431">
        <v>2013</v>
      </c>
      <c r="G79" s="164"/>
      <c r="H79" s="159"/>
      <c r="I79" s="151"/>
      <c r="J79" s="158"/>
      <c r="K79" s="153"/>
      <c r="L79" s="153"/>
      <c r="M79" s="153"/>
      <c r="N79" s="153"/>
    </row>
    <row r="80" spans="1:14" ht="22.5" customHeight="1" x14ac:dyDescent="0.2">
      <c r="A80" s="449"/>
      <c r="B80" s="461"/>
      <c r="C80" s="457"/>
      <c r="D80" s="443"/>
      <c r="E80" s="431">
        <v>2026</v>
      </c>
      <c r="F80" s="431">
        <v>2013</v>
      </c>
      <c r="G80" s="164"/>
      <c r="H80" s="159"/>
      <c r="I80" s="151"/>
      <c r="J80" s="158"/>
      <c r="K80" s="153"/>
      <c r="L80" s="153"/>
      <c r="M80" s="153"/>
      <c r="N80" s="153"/>
    </row>
    <row r="81" spans="1:14" ht="22.5" customHeight="1" x14ac:dyDescent="0.2">
      <c r="A81" s="449"/>
      <c r="B81" s="461"/>
      <c r="C81" s="458"/>
      <c r="D81" s="444"/>
      <c r="E81" s="431">
        <v>2027</v>
      </c>
      <c r="F81" s="431">
        <v>2013</v>
      </c>
      <c r="G81" s="164"/>
      <c r="H81" s="159"/>
      <c r="I81" s="151"/>
      <c r="J81" s="158"/>
      <c r="K81" s="153"/>
      <c r="L81" s="153"/>
      <c r="M81" s="153"/>
      <c r="N81" s="153"/>
    </row>
    <row r="82" spans="1:14" ht="48.75" customHeight="1" x14ac:dyDescent="0.2">
      <c r="A82" s="448">
        <v>16</v>
      </c>
      <c r="B82" s="461"/>
      <c r="C82" s="451" t="s">
        <v>325</v>
      </c>
      <c r="D82" s="442" t="s">
        <v>326</v>
      </c>
      <c r="E82" s="431" t="s">
        <v>435</v>
      </c>
      <c r="F82" s="431"/>
      <c r="G82" s="187">
        <f>G83+G84+G85+G86</f>
        <v>0</v>
      </c>
      <c r="H82" s="187">
        <f>H83+H84+H85+H86</f>
        <v>0</v>
      </c>
      <c r="I82" s="151"/>
      <c r="J82" s="158"/>
      <c r="K82" s="153"/>
      <c r="L82" s="153"/>
      <c r="M82" s="188">
        <f>M83+M84+M85+M86</f>
        <v>0</v>
      </c>
      <c r="N82" s="188">
        <f>N83+N84+N85+N86</f>
        <v>0</v>
      </c>
    </row>
    <row r="83" spans="1:14" ht="39" customHeight="1" x14ac:dyDescent="0.2">
      <c r="A83" s="449"/>
      <c r="B83" s="461"/>
      <c r="C83" s="452"/>
      <c r="D83" s="443"/>
      <c r="E83" s="431">
        <v>2024</v>
      </c>
      <c r="F83" s="431">
        <v>2013</v>
      </c>
      <c r="G83" s="164"/>
      <c r="H83" s="159"/>
      <c r="I83" s="172" t="s">
        <v>397</v>
      </c>
      <c r="J83" s="158"/>
      <c r="K83" s="153"/>
      <c r="L83" s="153"/>
      <c r="M83" s="153"/>
      <c r="N83" s="153"/>
    </row>
    <row r="84" spans="1:14" ht="45" customHeight="1" x14ac:dyDescent="0.2">
      <c r="A84" s="449"/>
      <c r="B84" s="461"/>
      <c r="C84" s="452"/>
      <c r="D84" s="443"/>
      <c r="E84" s="431">
        <v>2025</v>
      </c>
      <c r="F84" s="431">
        <v>2013</v>
      </c>
      <c r="G84" s="164"/>
      <c r="H84" s="159"/>
      <c r="I84" s="159"/>
      <c r="J84" s="150" t="s">
        <v>398</v>
      </c>
      <c r="K84" s="153"/>
      <c r="L84" s="153"/>
      <c r="M84" s="153"/>
      <c r="N84" s="153"/>
    </row>
    <row r="85" spans="1:14" ht="36.75" customHeight="1" x14ac:dyDescent="0.2">
      <c r="A85" s="449"/>
      <c r="B85" s="461"/>
      <c r="C85" s="452"/>
      <c r="D85" s="443"/>
      <c r="E85" s="431">
        <v>2026</v>
      </c>
      <c r="F85" s="431">
        <v>2013</v>
      </c>
      <c r="G85" s="164"/>
      <c r="H85" s="159"/>
      <c r="I85" s="150"/>
      <c r="J85" s="158"/>
      <c r="K85" s="173" t="s">
        <v>399</v>
      </c>
      <c r="L85" s="153"/>
      <c r="M85" s="153"/>
      <c r="N85" s="153"/>
    </row>
    <row r="86" spans="1:14" ht="27.75" customHeight="1" x14ac:dyDescent="0.2">
      <c r="A86" s="449"/>
      <c r="B86" s="461"/>
      <c r="C86" s="453"/>
      <c r="D86" s="444"/>
      <c r="E86" s="431">
        <v>2027</v>
      </c>
      <c r="F86" s="431">
        <v>2013</v>
      </c>
      <c r="G86" s="164"/>
      <c r="H86" s="159"/>
      <c r="I86" s="150"/>
      <c r="J86" s="158"/>
      <c r="K86" s="153"/>
      <c r="L86" s="173"/>
      <c r="M86" s="153"/>
      <c r="N86" s="153"/>
    </row>
    <row r="87" spans="1:14" ht="35.25" customHeight="1" x14ac:dyDescent="0.2">
      <c r="A87" s="448">
        <v>17</v>
      </c>
      <c r="B87" s="461"/>
      <c r="C87" s="442" t="s">
        <v>327</v>
      </c>
      <c r="D87" s="442" t="s">
        <v>328</v>
      </c>
      <c r="E87" s="431" t="s">
        <v>435</v>
      </c>
      <c r="F87" s="431"/>
      <c r="G87" s="187">
        <f>G88+G89+G90+G91</f>
        <v>0</v>
      </c>
      <c r="H87" s="187">
        <f>H88+H89+H90+H91</f>
        <v>0</v>
      </c>
      <c r="I87" s="151"/>
      <c r="J87" s="158"/>
      <c r="K87" s="153"/>
      <c r="L87" s="153"/>
      <c r="M87" s="188">
        <f>M88+M89+M90+M91</f>
        <v>0</v>
      </c>
      <c r="N87" s="188">
        <f>N88+N89+N90+N91</f>
        <v>0</v>
      </c>
    </row>
    <row r="88" spans="1:14" ht="132.75" customHeight="1" x14ac:dyDescent="0.2">
      <c r="A88" s="449"/>
      <c r="B88" s="461"/>
      <c r="C88" s="443"/>
      <c r="D88" s="443"/>
      <c r="E88" s="431">
        <v>2024</v>
      </c>
      <c r="F88" s="431">
        <v>2013</v>
      </c>
      <c r="G88" s="171"/>
      <c r="H88" s="159"/>
      <c r="I88" s="168" t="s">
        <v>400</v>
      </c>
      <c r="J88" s="454" t="s">
        <v>401</v>
      </c>
      <c r="K88" s="455"/>
      <c r="L88" s="174"/>
      <c r="M88" s="153"/>
      <c r="N88" s="162"/>
    </row>
    <row r="89" spans="1:14" ht="58.5" customHeight="1" x14ac:dyDescent="0.2">
      <c r="A89" s="449"/>
      <c r="B89" s="461"/>
      <c r="C89" s="443"/>
      <c r="D89" s="443"/>
      <c r="E89" s="431">
        <v>2025</v>
      </c>
      <c r="F89" s="431">
        <v>2013</v>
      </c>
      <c r="G89" s="164"/>
      <c r="H89" s="159"/>
      <c r="I89" s="168" t="s">
        <v>329</v>
      </c>
      <c r="J89" s="158"/>
      <c r="K89" s="153"/>
      <c r="L89" s="153"/>
      <c r="M89" s="153"/>
      <c r="N89" s="153"/>
    </row>
    <row r="90" spans="1:14" ht="52.5" customHeight="1" x14ac:dyDescent="0.2">
      <c r="A90" s="449"/>
      <c r="B90" s="461"/>
      <c r="C90" s="443"/>
      <c r="D90" s="443"/>
      <c r="E90" s="431">
        <v>2026</v>
      </c>
      <c r="F90" s="431">
        <v>2013</v>
      </c>
      <c r="G90" s="164"/>
      <c r="H90" s="159"/>
      <c r="I90" s="168" t="s">
        <v>329</v>
      </c>
      <c r="J90" s="158"/>
      <c r="K90" s="153"/>
      <c r="L90" s="153"/>
      <c r="M90" s="153"/>
      <c r="N90" s="153"/>
    </row>
    <row r="91" spans="1:14" ht="51" customHeight="1" x14ac:dyDescent="0.2">
      <c r="A91" s="449"/>
      <c r="B91" s="461"/>
      <c r="C91" s="444"/>
      <c r="D91" s="444"/>
      <c r="E91" s="431">
        <v>2027</v>
      </c>
      <c r="F91" s="431">
        <v>2013</v>
      </c>
      <c r="G91" s="164"/>
      <c r="H91" s="159"/>
      <c r="I91" s="168" t="s">
        <v>329</v>
      </c>
      <c r="J91" s="158"/>
      <c r="K91" s="153"/>
      <c r="L91" s="153"/>
      <c r="M91" s="153"/>
      <c r="N91" s="153"/>
    </row>
    <row r="92" spans="1:14" ht="35.25" customHeight="1" x14ac:dyDescent="0.2">
      <c r="A92" s="448">
        <v>18</v>
      </c>
      <c r="B92" s="461"/>
      <c r="C92" s="442" t="s">
        <v>330</v>
      </c>
      <c r="D92" s="442" t="s">
        <v>331</v>
      </c>
      <c r="E92" s="431" t="s">
        <v>435</v>
      </c>
      <c r="F92" s="431"/>
      <c r="G92" s="187">
        <f>G93+G94+G95+G96</f>
        <v>0</v>
      </c>
      <c r="H92" s="187">
        <f>H93+H94+H95+H96</f>
        <v>0</v>
      </c>
      <c r="I92" s="151"/>
      <c r="J92" s="158"/>
      <c r="K92" s="153"/>
      <c r="L92" s="153"/>
      <c r="M92" s="188">
        <f>M93+M94+M95+M96</f>
        <v>0</v>
      </c>
      <c r="N92" s="188">
        <f>N93+N94+N95+N96</f>
        <v>0</v>
      </c>
    </row>
    <row r="93" spans="1:14" ht="20.25" customHeight="1" x14ac:dyDescent="0.2">
      <c r="A93" s="449"/>
      <c r="B93" s="461"/>
      <c r="C93" s="443"/>
      <c r="D93" s="443"/>
      <c r="E93" s="431">
        <v>2024</v>
      </c>
      <c r="F93" s="431">
        <v>2013</v>
      </c>
      <c r="G93" s="164"/>
      <c r="H93" s="159"/>
      <c r="I93" s="168"/>
      <c r="J93" s="148"/>
      <c r="K93" s="153"/>
      <c r="L93" s="153"/>
      <c r="M93" s="153"/>
      <c r="N93" s="153"/>
    </row>
    <row r="94" spans="1:14" ht="35.25" customHeight="1" x14ac:dyDescent="0.2">
      <c r="A94" s="449"/>
      <c r="B94" s="461"/>
      <c r="C94" s="443"/>
      <c r="D94" s="443"/>
      <c r="E94" s="431">
        <v>2025</v>
      </c>
      <c r="F94" s="431">
        <v>2013</v>
      </c>
      <c r="G94" s="164"/>
      <c r="H94" s="159"/>
      <c r="I94" s="151"/>
      <c r="J94" s="158"/>
      <c r="K94" s="153"/>
      <c r="L94" s="153"/>
      <c r="M94" s="153"/>
      <c r="N94" s="153"/>
    </row>
    <row r="95" spans="1:14" ht="35.25" customHeight="1" x14ac:dyDescent="0.2">
      <c r="A95" s="449"/>
      <c r="B95" s="461"/>
      <c r="C95" s="443"/>
      <c r="D95" s="443"/>
      <c r="E95" s="431">
        <v>2026</v>
      </c>
      <c r="F95" s="431">
        <v>2013</v>
      </c>
      <c r="G95" s="164"/>
      <c r="H95" s="159"/>
      <c r="I95" s="151"/>
      <c r="J95" s="158"/>
      <c r="K95" s="153"/>
      <c r="L95" s="153"/>
      <c r="M95" s="153"/>
      <c r="N95" s="153"/>
    </row>
    <row r="96" spans="1:14" ht="35.25" customHeight="1" x14ac:dyDescent="0.2">
      <c r="A96" s="449"/>
      <c r="B96" s="461"/>
      <c r="C96" s="444"/>
      <c r="D96" s="444"/>
      <c r="E96" s="431">
        <v>2027</v>
      </c>
      <c r="F96" s="431">
        <v>2013</v>
      </c>
      <c r="G96" s="164"/>
      <c r="H96" s="159"/>
      <c r="I96" s="151"/>
      <c r="J96" s="158"/>
      <c r="K96" s="153"/>
      <c r="L96" s="153"/>
      <c r="M96" s="153"/>
      <c r="N96" s="153"/>
    </row>
    <row r="97" spans="1:14" ht="35.25" customHeight="1" x14ac:dyDescent="0.2">
      <c r="A97" s="448">
        <v>19</v>
      </c>
      <c r="B97" s="461"/>
      <c r="C97" s="442" t="s">
        <v>332</v>
      </c>
      <c r="D97" s="442" t="s">
        <v>331</v>
      </c>
      <c r="E97" s="431" t="s">
        <v>435</v>
      </c>
      <c r="F97" s="431"/>
      <c r="G97" s="187">
        <f>G98+G99+G100+G101</f>
        <v>0</v>
      </c>
      <c r="H97" s="187">
        <f>H98+H99+H100+H101</f>
        <v>0</v>
      </c>
      <c r="I97" s="151"/>
      <c r="J97" s="158"/>
      <c r="K97" s="153"/>
      <c r="L97" s="153"/>
      <c r="M97" s="188">
        <f>M98+M99+M100+M101</f>
        <v>0</v>
      </c>
      <c r="N97" s="188">
        <f>N98+N99+N100+N101</f>
        <v>0</v>
      </c>
    </row>
    <row r="98" spans="1:14" ht="156.75" customHeight="1" x14ac:dyDescent="0.2">
      <c r="A98" s="449"/>
      <c r="B98" s="461"/>
      <c r="C98" s="443"/>
      <c r="D98" s="443"/>
      <c r="E98" s="431">
        <v>2024</v>
      </c>
      <c r="F98" s="431">
        <v>2013</v>
      </c>
      <c r="G98" s="164"/>
      <c r="H98" s="159"/>
      <c r="I98" s="168" t="s">
        <v>402</v>
      </c>
      <c r="J98" s="148" t="s">
        <v>333</v>
      </c>
      <c r="K98" s="153"/>
      <c r="L98" s="153"/>
      <c r="M98" s="153"/>
      <c r="N98" s="153"/>
    </row>
    <row r="99" spans="1:14" ht="35.25" customHeight="1" x14ac:dyDescent="0.2">
      <c r="A99" s="449"/>
      <c r="B99" s="461"/>
      <c r="C99" s="443"/>
      <c r="D99" s="443"/>
      <c r="E99" s="431">
        <v>2025</v>
      </c>
      <c r="F99" s="431">
        <v>2013</v>
      </c>
      <c r="G99" s="164"/>
      <c r="H99" s="159"/>
      <c r="I99" s="151"/>
      <c r="J99" s="158"/>
      <c r="K99" s="153"/>
      <c r="L99" s="153"/>
      <c r="M99" s="153"/>
      <c r="N99" s="153"/>
    </row>
    <row r="100" spans="1:14" ht="35.25" customHeight="1" x14ac:dyDescent="0.2">
      <c r="A100" s="449"/>
      <c r="B100" s="461"/>
      <c r="C100" s="443"/>
      <c r="D100" s="443"/>
      <c r="E100" s="431">
        <v>2026</v>
      </c>
      <c r="F100" s="431">
        <v>2013</v>
      </c>
      <c r="G100" s="164"/>
      <c r="H100" s="159"/>
      <c r="I100" s="151"/>
      <c r="J100" s="158"/>
      <c r="K100" s="153"/>
      <c r="L100" s="153"/>
      <c r="M100" s="153"/>
      <c r="N100" s="153"/>
    </row>
    <row r="101" spans="1:14" ht="35.25" customHeight="1" x14ac:dyDescent="0.2">
      <c r="A101" s="449"/>
      <c r="B101" s="461"/>
      <c r="C101" s="444"/>
      <c r="D101" s="444"/>
      <c r="E101" s="431">
        <v>2027</v>
      </c>
      <c r="F101" s="431">
        <v>2013</v>
      </c>
      <c r="G101" s="164"/>
      <c r="H101" s="159"/>
      <c r="I101" s="151"/>
      <c r="J101" s="158"/>
      <c r="K101" s="153"/>
      <c r="L101" s="153"/>
      <c r="M101" s="153"/>
      <c r="N101" s="153"/>
    </row>
    <row r="102" spans="1:14" ht="35.25" customHeight="1" x14ac:dyDescent="0.2">
      <c r="A102" s="448">
        <v>20</v>
      </c>
      <c r="B102" s="461"/>
      <c r="C102" s="451" t="s">
        <v>334</v>
      </c>
      <c r="D102" s="442" t="s">
        <v>403</v>
      </c>
      <c r="E102" s="431" t="s">
        <v>435</v>
      </c>
      <c r="F102" s="431"/>
      <c r="G102" s="187">
        <f>G103+G104+G105+G106</f>
        <v>91.281000000000006</v>
      </c>
      <c r="H102" s="187">
        <f>H103+H104+H105+H106</f>
        <v>0</v>
      </c>
      <c r="I102" s="151"/>
      <c r="J102" s="158"/>
      <c r="K102" s="153"/>
      <c r="L102" s="153"/>
      <c r="M102" s="188">
        <f>M103+M104+M105+M106</f>
        <v>0</v>
      </c>
      <c r="N102" s="188">
        <f>N103+N104+N105+N106</f>
        <v>0</v>
      </c>
    </row>
    <row r="103" spans="1:14" ht="35.25" customHeight="1" x14ac:dyDescent="0.2">
      <c r="A103" s="449"/>
      <c r="B103" s="461"/>
      <c r="C103" s="452"/>
      <c r="D103" s="443"/>
      <c r="E103" s="431">
        <v>2024</v>
      </c>
      <c r="F103" s="431">
        <v>2013</v>
      </c>
      <c r="G103" s="164"/>
      <c r="H103" s="17"/>
      <c r="I103" s="159" t="s">
        <v>312</v>
      </c>
      <c r="J103" s="158"/>
      <c r="K103" s="153"/>
      <c r="L103" s="153"/>
      <c r="M103" s="153"/>
      <c r="N103" s="153"/>
    </row>
    <row r="104" spans="1:14" ht="58.5" customHeight="1" x14ac:dyDescent="0.2">
      <c r="A104" s="449"/>
      <c r="B104" s="461"/>
      <c r="C104" s="452"/>
      <c r="D104" s="443"/>
      <c r="E104" s="431">
        <v>2025</v>
      </c>
      <c r="F104" s="431">
        <v>2013</v>
      </c>
      <c r="G104" s="164">
        <v>91.281000000000006</v>
      </c>
      <c r="H104" s="159"/>
      <c r="I104" s="151"/>
      <c r="J104" s="158"/>
      <c r="K104" s="153"/>
      <c r="L104" s="153"/>
      <c r="M104" s="153"/>
      <c r="N104" s="153"/>
    </row>
    <row r="105" spans="1:14" ht="35.25" customHeight="1" x14ac:dyDescent="0.2">
      <c r="A105" s="449"/>
      <c r="B105" s="461"/>
      <c r="C105" s="452"/>
      <c r="D105" s="443"/>
      <c r="E105" s="431">
        <v>2026</v>
      </c>
      <c r="F105" s="431">
        <v>2013</v>
      </c>
      <c r="G105" s="164"/>
      <c r="H105" s="159"/>
      <c r="I105" s="151"/>
      <c r="J105" s="158"/>
      <c r="K105" s="153"/>
      <c r="L105" s="153"/>
      <c r="M105" s="153"/>
      <c r="N105" s="153"/>
    </row>
    <row r="106" spans="1:14" ht="33" customHeight="1" x14ac:dyDescent="0.2">
      <c r="A106" s="449"/>
      <c r="B106" s="461"/>
      <c r="C106" s="453"/>
      <c r="D106" s="444"/>
      <c r="E106" s="431">
        <v>2027</v>
      </c>
      <c r="F106" s="431">
        <v>2013</v>
      </c>
      <c r="G106" s="164"/>
      <c r="H106" s="159"/>
      <c r="I106" s="151"/>
      <c r="J106" s="158"/>
      <c r="K106" s="153"/>
      <c r="L106" s="153"/>
      <c r="M106" s="153"/>
      <c r="N106" s="153"/>
    </row>
    <row r="107" spans="1:14" ht="39" customHeight="1" x14ac:dyDescent="0.2">
      <c r="A107" s="448">
        <v>21</v>
      </c>
      <c r="B107" s="461"/>
      <c r="C107" s="442" t="s">
        <v>335</v>
      </c>
      <c r="D107" s="442" t="s">
        <v>336</v>
      </c>
      <c r="E107" s="431" t="s">
        <v>435</v>
      </c>
      <c r="F107" s="431"/>
      <c r="G107" s="187">
        <f>G108+G109+G110+G111</f>
        <v>0</v>
      </c>
      <c r="H107" s="187">
        <f>H108+H109+H110+H111</f>
        <v>0</v>
      </c>
      <c r="I107" s="151"/>
      <c r="J107" s="158"/>
      <c r="K107" s="153"/>
      <c r="L107" s="153"/>
      <c r="M107" s="188">
        <f>M108+M109+M110+M111</f>
        <v>0</v>
      </c>
      <c r="N107" s="188">
        <f>N108+N109+N110+N111</f>
        <v>0</v>
      </c>
    </row>
    <row r="108" spans="1:14" ht="39" customHeight="1" x14ac:dyDescent="0.2">
      <c r="A108" s="449"/>
      <c r="B108" s="461"/>
      <c r="C108" s="443"/>
      <c r="D108" s="443"/>
      <c r="E108" s="431">
        <v>2024</v>
      </c>
      <c r="F108" s="431">
        <v>2013</v>
      </c>
      <c r="G108" s="164"/>
      <c r="H108" s="159"/>
      <c r="I108" s="151"/>
      <c r="J108" s="158"/>
      <c r="K108" s="153"/>
      <c r="L108" s="153"/>
      <c r="M108" s="153"/>
      <c r="N108" s="153"/>
    </row>
    <row r="109" spans="1:14" ht="39" customHeight="1" x14ac:dyDescent="0.2">
      <c r="A109" s="449"/>
      <c r="B109" s="461"/>
      <c r="C109" s="443"/>
      <c r="D109" s="443"/>
      <c r="E109" s="431">
        <v>2025</v>
      </c>
      <c r="F109" s="431">
        <v>2013</v>
      </c>
      <c r="G109" s="164"/>
      <c r="H109" s="159"/>
      <c r="I109" s="151" t="s">
        <v>337</v>
      </c>
      <c r="J109" s="158"/>
      <c r="K109" s="153"/>
      <c r="L109" s="153"/>
      <c r="M109" s="153"/>
      <c r="N109" s="153"/>
    </row>
    <row r="110" spans="1:14" ht="63.75" customHeight="1" x14ac:dyDescent="0.2">
      <c r="A110" s="449"/>
      <c r="B110" s="461"/>
      <c r="C110" s="443"/>
      <c r="D110" s="443"/>
      <c r="E110" s="431">
        <v>2026</v>
      </c>
      <c r="F110" s="431">
        <v>2013</v>
      </c>
      <c r="G110" s="164"/>
      <c r="H110" s="159"/>
      <c r="I110" s="151"/>
      <c r="J110" s="158" t="s">
        <v>338</v>
      </c>
      <c r="K110" s="153"/>
      <c r="L110" s="153"/>
      <c r="M110" s="153"/>
      <c r="N110" s="153"/>
    </row>
    <row r="111" spans="1:14" ht="66.75" customHeight="1" x14ac:dyDescent="0.2">
      <c r="A111" s="449"/>
      <c r="B111" s="461"/>
      <c r="C111" s="444"/>
      <c r="D111" s="444"/>
      <c r="E111" s="431">
        <v>2027</v>
      </c>
      <c r="F111" s="431">
        <v>2013</v>
      </c>
      <c r="G111" s="164"/>
      <c r="H111" s="159"/>
      <c r="I111" s="151"/>
      <c r="J111" s="158"/>
      <c r="K111" s="153"/>
      <c r="L111" s="153"/>
      <c r="M111" s="153"/>
      <c r="N111" s="153"/>
    </row>
    <row r="112" spans="1:14" ht="66.75" customHeight="1" x14ac:dyDescent="0.2">
      <c r="A112" s="448">
        <v>22</v>
      </c>
      <c r="B112" s="461"/>
      <c r="C112" s="442" t="s">
        <v>339</v>
      </c>
      <c r="D112" s="442" t="s">
        <v>336</v>
      </c>
      <c r="E112" s="431" t="s">
        <v>435</v>
      </c>
      <c r="F112" s="431"/>
      <c r="G112" s="187">
        <f>G113+G114+G115+G116</f>
        <v>0</v>
      </c>
      <c r="H112" s="187">
        <f>H113+H114+H115+H116</f>
        <v>0</v>
      </c>
      <c r="I112" s="151"/>
      <c r="J112" s="158"/>
      <c r="K112" s="153"/>
      <c r="L112" s="153"/>
      <c r="M112" s="188">
        <f>M113+M114+M115+M116</f>
        <v>0</v>
      </c>
      <c r="N112" s="188">
        <f>N113+N114+N115+N116</f>
        <v>0</v>
      </c>
    </row>
    <row r="113" spans="1:14" ht="42.75" customHeight="1" x14ac:dyDescent="0.2">
      <c r="A113" s="449"/>
      <c r="B113" s="461"/>
      <c r="C113" s="443"/>
      <c r="D113" s="443"/>
      <c r="E113" s="431">
        <v>2024</v>
      </c>
      <c r="F113" s="431">
        <v>2013</v>
      </c>
      <c r="G113" s="164"/>
      <c r="H113" s="159"/>
      <c r="I113" s="151"/>
      <c r="J113" s="158"/>
      <c r="K113" s="153"/>
      <c r="L113" s="153"/>
      <c r="M113" s="153"/>
      <c r="N113" s="153"/>
    </row>
    <row r="114" spans="1:14" ht="38.25" customHeight="1" x14ac:dyDescent="0.2">
      <c r="A114" s="449"/>
      <c r="B114" s="461"/>
      <c r="C114" s="443"/>
      <c r="D114" s="443"/>
      <c r="E114" s="431">
        <v>2025</v>
      </c>
      <c r="F114" s="431">
        <v>2013</v>
      </c>
      <c r="G114" s="164"/>
      <c r="H114" s="159"/>
      <c r="I114" s="151" t="s">
        <v>337</v>
      </c>
      <c r="J114" s="158"/>
      <c r="K114" s="153"/>
      <c r="L114" s="153"/>
      <c r="M114" s="153"/>
      <c r="N114" s="153"/>
    </row>
    <row r="115" spans="1:14" ht="43.5" customHeight="1" x14ac:dyDescent="0.2">
      <c r="A115" s="449"/>
      <c r="B115" s="461"/>
      <c r="C115" s="443"/>
      <c r="D115" s="443"/>
      <c r="E115" s="431">
        <v>2026</v>
      </c>
      <c r="F115" s="431">
        <v>2013</v>
      </c>
      <c r="G115" s="164"/>
      <c r="H115" s="159"/>
      <c r="I115" s="151"/>
      <c r="J115" s="158" t="s">
        <v>338</v>
      </c>
      <c r="K115" s="153"/>
      <c r="L115" s="153"/>
      <c r="M115" s="153"/>
      <c r="N115" s="153"/>
    </row>
    <row r="116" spans="1:14" ht="39.75" customHeight="1" x14ac:dyDescent="0.2">
      <c r="A116" s="449"/>
      <c r="B116" s="461"/>
      <c r="C116" s="444"/>
      <c r="D116" s="444"/>
      <c r="E116" s="431">
        <v>2027</v>
      </c>
      <c r="F116" s="431">
        <v>2013</v>
      </c>
      <c r="G116" s="164"/>
      <c r="H116" s="159"/>
      <c r="I116" s="151"/>
      <c r="J116" s="158"/>
      <c r="K116" s="153"/>
      <c r="L116" s="153"/>
      <c r="M116" s="153"/>
      <c r="N116" s="153"/>
    </row>
    <row r="117" spans="1:14" ht="42" customHeight="1" x14ac:dyDescent="0.2">
      <c r="A117" s="448">
        <v>23</v>
      </c>
      <c r="B117" s="461"/>
      <c r="C117" s="442" t="s">
        <v>340</v>
      </c>
      <c r="D117" s="442" t="s">
        <v>341</v>
      </c>
      <c r="E117" s="431" t="s">
        <v>435</v>
      </c>
      <c r="F117" s="431"/>
      <c r="G117" s="187">
        <f>G118+G119+G120+G121</f>
        <v>0</v>
      </c>
      <c r="H117" s="187">
        <f>H118+H119+H120+H121</f>
        <v>0</v>
      </c>
      <c r="I117" s="151"/>
      <c r="J117" s="158"/>
      <c r="K117" s="153"/>
      <c r="L117" s="153"/>
      <c r="M117" s="188">
        <f>M118+M119+M120+M121</f>
        <v>0</v>
      </c>
      <c r="N117" s="188">
        <f>N118+N119+N120+N121</f>
        <v>0</v>
      </c>
    </row>
    <row r="118" spans="1:14" ht="49.5" customHeight="1" x14ac:dyDescent="0.2">
      <c r="A118" s="449"/>
      <c r="B118" s="461"/>
      <c r="C118" s="443"/>
      <c r="D118" s="443"/>
      <c r="E118" s="431">
        <v>2024</v>
      </c>
      <c r="F118" s="431">
        <v>2013</v>
      </c>
      <c r="G118" s="164"/>
      <c r="H118" s="159"/>
      <c r="I118" s="151"/>
      <c r="J118" s="158"/>
      <c r="K118" s="153"/>
      <c r="L118" s="153"/>
      <c r="M118" s="153"/>
      <c r="N118" s="153"/>
    </row>
    <row r="119" spans="1:14" ht="39.75" customHeight="1" x14ac:dyDescent="0.2">
      <c r="A119" s="449"/>
      <c r="B119" s="461"/>
      <c r="C119" s="443"/>
      <c r="D119" s="443"/>
      <c r="E119" s="431">
        <v>2025</v>
      </c>
      <c r="F119" s="431">
        <v>2013</v>
      </c>
      <c r="G119" s="164"/>
      <c r="H119" s="159"/>
      <c r="I119" s="151" t="s">
        <v>337</v>
      </c>
      <c r="J119" s="158"/>
      <c r="K119" s="153"/>
      <c r="L119" s="153"/>
      <c r="M119" s="153"/>
      <c r="N119" s="153"/>
    </row>
    <row r="120" spans="1:14" ht="58.5" customHeight="1" x14ac:dyDescent="0.2">
      <c r="A120" s="449"/>
      <c r="B120" s="461"/>
      <c r="C120" s="443"/>
      <c r="D120" s="443"/>
      <c r="E120" s="431">
        <v>2026</v>
      </c>
      <c r="F120" s="431">
        <v>2013</v>
      </c>
      <c r="G120" s="164"/>
      <c r="H120" s="159"/>
      <c r="I120" s="151"/>
      <c r="J120" s="158" t="s">
        <v>338</v>
      </c>
      <c r="K120" s="153"/>
      <c r="L120" s="153"/>
      <c r="M120" s="153"/>
      <c r="N120" s="153"/>
    </row>
    <row r="121" spans="1:14" ht="54" customHeight="1" x14ac:dyDescent="0.2">
      <c r="A121" s="449"/>
      <c r="B121" s="461"/>
      <c r="C121" s="444"/>
      <c r="D121" s="444"/>
      <c r="E121" s="431">
        <v>2027</v>
      </c>
      <c r="F121" s="431">
        <v>2013</v>
      </c>
      <c r="G121" s="164"/>
      <c r="H121" s="159"/>
      <c r="I121" s="151"/>
      <c r="J121" s="158"/>
      <c r="K121" s="153"/>
      <c r="L121" s="153"/>
      <c r="M121" s="153"/>
      <c r="N121" s="153"/>
    </row>
    <row r="122" spans="1:14" ht="54" customHeight="1" x14ac:dyDescent="0.2">
      <c r="A122" s="448">
        <v>24</v>
      </c>
      <c r="B122" s="461"/>
      <c r="C122" s="442" t="s">
        <v>342</v>
      </c>
      <c r="D122" s="442" t="s">
        <v>341</v>
      </c>
      <c r="E122" s="431" t="s">
        <v>435</v>
      </c>
      <c r="F122" s="431"/>
      <c r="G122" s="187">
        <f>G123+G124+G125+G126</f>
        <v>0</v>
      </c>
      <c r="H122" s="187">
        <f>H123+H124+H125+H126</f>
        <v>0</v>
      </c>
      <c r="I122" s="450" t="s">
        <v>343</v>
      </c>
      <c r="J122" s="158"/>
      <c r="K122" s="153"/>
      <c r="L122" s="153"/>
      <c r="M122" s="188">
        <f>M123+M124+M125+M126</f>
        <v>0</v>
      </c>
      <c r="N122" s="188">
        <f>N123+N124+N125+N126</f>
        <v>0</v>
      </c>
    </row>
    <row r="123" spans="1:14" ht="54" customHeight="1" x14ac:dyDescent="0.2">
      <c r="A123" s="449"/>
      <c r="B123" s="461"/>
      <c r="C123" s="443"/>
      <c r="D123" s="443"/>
      <c r="E123" s="431">
        <v>2024</v>
      </c>
      <c r="F123" s="431">
        <v>2013</v>
      </c>
      <c r="G123" s="164"/>
      <c r="H123" s="159"/>
      <c r="I123" s="426"/>
      <c r="J123" s="158"/>
      <c r="K123" s="153"/>
      <c r="L123" s="153"/>
      <c r="M123" s="153"/>
      <c r="N123" s="153"/>
    </row>
    <row r="124" spans="1:14" ht="54" customHeight="1" x14ac:dyDescent="0.2">
      <c r="A124" s="449"/>
      <c r="B124" s="461"/>
      <c r="C124" s="443"/>
      <c r="D124" s="443"/>
      <c r="E124" s="431">
        <v>2025</v>
      </c>
      <c r="F124" s="431">
        <v>2013</v>
      </c>
      <c r="G124" s="164"/>
      <c r="H124" s="159"/>
      <c r="I124" s="426"/>
      <c r="J124" s="158"/>
      <c r="K124" s="153"/>
      <c r="L124" s="153"/>
      <c r="M124" s="153"/>
      <c r="N124" s="153"/>
    </row>
    <row r="125" spans="1:14" ht="54" customHeight="1" x14ac:dyDescent="0.2">
      <c r="A125" s="449"/>
      <c r="B125" s="461"/>
      <c r="C125" s="443"/>
      <c r="D125" s="443"/>
      <c r="E125" s="431">
        <v>2026</v>
      </c>
      <c r="F125" s="431">
        <v>2013</v>
      </c>
      <c r="G125" s="164"/>
      <c r="H125" s="159"/>
      <c r="I125" s="426"/>
      <c r="J125" s="158"/>
      <c r="K125" s="153"/>
      <c r="L125" s="153"/>
      <c r="M125" s="153"/>
      <c r="N125" s="153"/>
    </row>
    <row r="126" spans="1:14" ht="54" customHeight="1" x14ac:dyDescent="0.2">
      <c r="A126" s="449"/>
      <c r="B126" s="461"/>
      <c r="C126" s="444"/>
      <c r="D126" s="444"/>
      <c r="E126" s="431">
        <v>2027</v>
      </c>
      <c r="F126" s="431">
        <v>2013</v>
      </c>
      <c r="G126" s="164"/>
      <c r="H126" s="159"/>
      <c r="I126" s="427"/>
      <c r="J126" s="158"/>
      <c r="K126" s="153"/>
      <c r="L126" s="153"/>
      <c r="M126" s="153"/>
      <c r="N126" s="153"/>
    </row>
    <row r="127" spans="1:14" ht="54" customHeight="1" x14ac:dyDescent="0.2">
      <c r="A127" s="448">
        <v>25</v>
      </c>
      <c r="B127" s="461"/>
      <c r="C127" s="442" t="s">
        <v>344</v>
      </c>
      <c r="D127" s="442" t="s">
        <v>345</v>
      </c>
      <c r="E127" s="431" t="s">
        <v>435</v>
      </c>
      <c r="F127" s="431"/>
      <c r="G127" s="187">
        <f>G128+G129+G130+G131</f>
        <v>0</v>
      </c>
      <c r="H127" s="187">
        <f>H128+H129+H130+H131</f>
        <v>0</v>
      </c>
      <c r="I127" s="158"/>
      <c r="J127" s="158"/>
      <c r="K127" s="153"/>
      <c r="L127" s="153"/>
      <c r="M127" s="188">
        <f>M128+M129+M130+M131</f>
        <v>0</v>
      </c>
      <c r="N127" s="188">
        <f>N128+N129+N130+N131</f>
        <v>0</v>
      </c>
    </row>
    <row r="128" spans="1:14" ht="54" customHeight="1" x14ac:dyDescent="0.2">
      <c r="A128" s="449"/>
      <c r="B128" s="461"/>
      <c r="C128" s="443"/>
      <c r="D128" s="443"/>
      <c r="E128" s="431">
        <v>2024</v>
      </c>
      <c r="F128" s="431">
        <v>2013</v>
      </c>
      <c r="G128" s="164"/>
      <c r="H128" s="159"/>
      <c r="I128" s="158"/>
      <c r="J128" s="158"/>
      <c r="K128" s="153"/>
      <c r="L128" s="153"/>
      <c r="M128" s="153"/>
      <c r="N128" s="153"/>
    </row>
    <row r="129" spans="1:14" ht="54" customHeight="1" x14ac:dyDescent="0.2">
      <c r="A129" s="449"/>
      <c r="B129" s="461"/>
      <c r="C129" s="443"/>
      <c r="D129" s="443"/>
      <c r="E129" s="431">
        <v>2025</v>
      </c>
      <c r="F129" s="431">
        <v>2013</v>
      </c>
      <c r="G129" s="164"/>
      <c r="H129" s="159"/>
      <c r="I129" s="158"/>
      <c r="J129" s="158"/>
      <c r="K129" s="153"/>
      <c r="L129" s="153"/>
      <c r="M129" s="153"/>
      <c r="N129" s="153"/>
    </row>
    <row r="130" spans="1:14" ht="54" customHeight="1" x14ac:dyDescent="0.2">
      <c r="A130" s="449"/>
      <c r="B130" s="461"/>
      <c r="C130" s="443"/>
      <c r="D130" s="443"/>
      <c r="E130" s="431">
        <v>2026</v>
      </c>
      <c r="F130" s="431">
        <v>2013</v>
      </c>
      <c r="G130" s="164"/>
      <c r="H130" s="159"/>
      <c r="I130" s="158"/>
      <c r="J130" s="158"/>
      <c r="K130" s="153"/>
      <c r="L130" s="153"/>
      <c r="M130" s="153"/>
      <c r="N130" s="153"/>
    </row>
    <row r="131" spans="1:14" ht="54" customHeight="1" x14ac:dyDescent="0.2">
      <c r="A131" s="449"/>
      <c r="B131" s="461"/>
      <c r="C131" s="444"/>
      <c r="D131" s="444"/>
      <c r="E131" s="431">
        <v>2027</v>
      </c>
      <c r="F131" s="431">
        <v>2013</v>
      </c>
      <c r="G131" s="164"/>
      <c r="H131" s="159"/>
      <c r="I131" s="158"/>
      <c r="J131" s="158"/>
      <c r="K131" s="153"/>
      <c r="L131" s="153"/>
      <c r="M131" s="153"/>
      <c r="N131" s="153"/>
    </row>
    <row r="132" spans="1:14" ht="126.75" customHeight="1" x14ac:dyDescent="0.2">
      <c r="A132" s="448">
        <v>26</v>
      </c>
      <c r="B132" s="461"/>
      <c r="C132" s="442" t="s">
        <v>346</v>
      </c>
      <c r="D132" s="442" t="s">
        <v>347</v>
      </c>
      <c r="E132" s="431" t="s">
        <v>435</v>
      </c>
      <c r="F132" s="431"/>
      <c r="G132" s="187">
        <f>G133+G134+G135+G136</f>
        <v>0</v>
      </c>
      <c r="H132" s="187">
        <f>H133+H134+H135+H136</f>
        <v>0</v>
      </c>
      <c r="I132" s="148" t="s">
        <v>348</v>
      </c>
      <c r="J132" s="158"/>
      <c r="K132" s="153"/>
      <c r="L132" s="153"/>
      <c r="M132" s="188">
        <f>M133+M134+M135+M136</f>
        <v>0</v>
      </c>
      <c r="N132" s="188">
        <f>N133+N134+N135+N136</f>
        <v>0</v>
      </c>
    </row>
    <row r="133" spans="1:14" ht="54" customHeight="1" x14ac:dyDescent="0.2">
      <c r="A133" s="449"/>
      <c r="B133" s="461"/>
      <c r="C133" s="443"/>
      <c r="D133" s="443"/>
      <c r="E133" s="431">
        <v>2024</v>
      </c>
      <c r="F133" s="431">
        <v>2013</v>
      </c>
      <c r="G133" s="164"/>
      <c r="H133" s="159"/>
      <c r="I133" s="158"/>
      <c r="J133" s="158"/>
      <c r="K133" s="153"/>
      <c r="L133" s="153"/>
      <c r="M133" s="153"/>
      <c r="N133" s="153"/>
    </row>
    <row r="134" spans="1:14" ht="54" customHeight="1" x14ac:dyDescent="0.2">
      <c r="A134" s="449"/>
      <c r="B134" s="461"/>
      <c r="C134" s="443"/>
      <c r="D134" s="443"/>
      <c r="E134" s="431">
        <v>2025</v>
      </c>
      <c r="F134" s="431">
        <v>2013</v>
      </c>
      <c r="G134" s="164"/>
      <c r="H134" s="159"/>
      <c r="I134" s="148" t="s">
        <v>312</v>
      </c>
      <c r="J134" s="148"/>
      <c r="K134" s="153"/>
      <c r="L134" s="153"/>
      <c r="M134" s="153"/>
      <c r="N134" s="153"/>
    </row>
    <row r="135" spans="1:14" ht="54" customHeight="1" x14ac:dyDescent="0.2">
      <c r="A135" s="449"/>
      <c r="B135" s="461"/>
      <c r="C135" s="443"/>
      <c r="D135" s="443"/>
      <c r="E135" s="431">
        <v>2026</v>
      </c>
      <c r="F135" s="431">
        <v>2013</v>
      </c>
      <c r="G135" s="164"/>
      <c r="H135" s="159"/>
      <c r="I135" s="148"/>
      <c r="J135" s="148" t="s">
        <v>349</v>
      </c>
      <c r="K135" s="153"/>
      <c r="L135" s="153"/>
      <c r="M135" s="153"/>
      <c r="N135" s="153"/>
    </row>
    <row r="136" spans="1:14" ht="54" customHeight="1" x14ac:dyDescent="0.2">
      <c r="A136" s="449"/>
      <c r="B136" s="461"/>
      <c r="C136" s="444"/>
      <c r="D136" s="444"/>
      <c r="E136" s="431">
        <v>2027</v>
      </c>
      <c r="F136" s="431">
        <v>2013</v>
      </c>
      <c r="G136" s="164"/>
      <c r="H136" s="159"/>
      <c r="I136" s="158"/>
      <c r="J136" s="158"/>
      <c r="K136" s="161" t="s">
        <v>350</v>
      </c>
      <c r="L136" s="153"/>
      <c r="M136" s="153"/>
      <c r="N136" s="153"/>
    </row>
    <row r="137" spans="1:14" ht="36" customHeight="1" x14ac:dyDescent="0.2">
      <c r="A137" s="448">
        <v>27</v>
      </c>
      <c r="B137" s="461"/>
      <c r="C137" s="442" t="s">
        <v>351</v>
      </c>
      <c r="D137" s="442" t="s">
        <v>352</v>
      </c>
      <c r="E137" s="431" t="s">
        <v>435</v>
      </c>
      <c r="F137" s="431"/>
      <c r="G137" s="187">
        <f>G138+G139+G140+G141</f>
        <v>0</v>
      </c>
      <c r="H137" s="187">
        <f>H138+H139+H140+H141</f>
        <v>0</v>
      </c>
      <c r="I137" s="442" t="s">
        <v>353</v>
      </c>
      <c r="J137" s="158"/>
      <c r="K137" s="153"/>
      <c r="L137" s="153"/>
      <c r="M137" s="188">
        <f>M138+M139+M140+M141</f>
        <v>0</v>
      </c>
      <c r="N137" s="188">
        <f>N138+N139+N140+N141</f>
        <v>0</v>
      </c>
    </row>
    <row r="138" spans="1:14" ht="57.75" customHeight="1" x14ac:dyDescent="0.2">
      <c r="A138" s="449"/>
      <c r="B138" s="461"/>
      <c r="C138" s="443"/>
      <c r="D138" s="443"/>
      <c r="E138" s="431">
        <v>2024</v>
      </c>
      <c r="F138" s="431">
        <v>2013</v>
      </c>
      <c r="G138" s="164"/>
      <c r="H138" s="159"/>
      <c r="I138" s="443"/>
      <c r="J138" s="158"/>
      <c r="K138" s="153"/>
      <c r="L138" s="153"/>
      <c r="M138" s="153"/>
      <c r="N138" s="153"/>
    </row>
    <row r="139" spans="1:14" ht="30.75" customHeight="1" x14ac:dyDescent="0.2">
      <c r="A139" s="449"/>
      <c r="B139" s="461"/>
      <c r="C139" s="443"/>
      <c r="D139" s="443"/>
      <c r="E139" s="431">
        <v>2025</v>
      </c>
      <c r="F139" s="431">
        <v>2013</v>
      </c>
      <c r="G139" s="164"/>
      <c r="H139" s="159"/>
      <c r="I139" s="443"/>
      <c r="J139" s="158"/>
      <c r="K139" s="153"/>
      <c r="L139" s="153"/>
      <c r="M139" s="153"/>
      <c r="N139" s="153"/>
    </row>
    <row r="140" spans="1:14" ht="78.75" customHeight="1" x14ac:dyDescent="0.2">
      <c r="A140" s="449"/>
      <c r="B140" s="461"/>
      <c r="C140" s="443"/>
      <c r="D140" s="443"/>
      <c r="E140" s="431">
        <v>2026</v>
      </c>
      <c r="F140" s="431">
        <v>2013</v>
      </c>
      <c r="G140" s="164"/>
      <c r="H140" s="159"/>
      <c r="I140" s="443"/>
      <c r="J140" s="158"/>
      <c r="K140" s="153"/>
      <c r="L140" s="153"/>
      <c r="M140" s="153"/>
      <c r="N140" s="153"/>
    </row>
    <row r="141" spans="1:14" ht="79.5" customHeight="1" x14ac:dyDescent="0.2">
      <c r="A141" s="449"/>
      <c r="B141" s="461"/>
      <c r="C141" s="444"/>
      <c r="D141" s="444"/>
      <c r="E141" s="431">
        <v>2027</v>
      </c>
      <c r="F141" s="431">
        <v>2013</v>
      </c>
      <c r="G141" s="164"/>
      <c r="H141" s="159"/>
      <c r="I141" s="444"/>
      <c r="J141" s="158"/>
      <c r="K141" s="153"/>
      <c r="L141" s="153"/>
      <c r="M141" s="153"/>
      <c r="N141" s="153"/>
    </row>
    <row r="142" spans="1:14" s="131" customFormat="1" ht="15.75" x14ac:dyDescent="0.25">
      <c r="A142" s="422" t="s">
        <v>114</v>
      </c>
      <c r="B142" s="422"/>
      <c r="C142" s="422"/>
      <c r="D142" s="422"/>
      <c r="E142" s="422"/>
      <c r="F142" s="422"/>
      <c r="G142" s="178">
        <f>G7+G12+G17+G22+G27+G32++G37+G42+G47+G52+G57+G62+G67+G72+G77+G82+G87+G97+G102+G107+G112+G117+G122+G127+G132+G137+G92</f>
        <v>9515.1810000000023</v>
      </c>
      <c r="H142" s="178">
        <f>H7+H12+H17+H22+H27+H32+H42+H47+H52+H57+H62+H67+H72+H77+H82+H87+H97+H102+H107+H112+H117+H122+H127+H132+H137+H92</f>
        <v>0</v>
      </c>
      <c r="I142" s="178"/>
      <c r="J142" s="178"/>
      <c r="K142" s="178"/>
      <c r="L142" s="178"/>
      <c r="M142" s="178">
        <f>M7+M12+M17+M22+M27+M32+M42+M47+M52+M57+M62+M67+M72+M77+M82+M87+M97+M102+M107+M112+M117+M122+M127+M132+M137+M92</f>
        <v>0</v>
      </c>
      <c r="N142" s="178">
        <f>N7+N12+N17+N22+N27+N32+N37+N42+N47+N52+N57+N62+N67+N72+N77+N82+N87+N97+N102+N107+N112+N117+N122+N127+N132+N137+N92</f>
        <v>178</v>
      </c>
    </row>
    <row r="143" spans="1:14" s="132" customFormat="1" ht="34.5" customHeight="1" x14ac:dyDescent="0.25">
      <c r="A143" s="440">
        <v>1</v>
      </c>
      <c r="B143" s="492" t="s">
        <v>354</v>
      </c>
      <c r="C143" s="423" t="s">
        <v>355</v>
      </c>
      <c r="D143" s="450" t="s">
        <v>356</v>
      </c>
      <c r="E143" s="431" t="s">
        <v>435</v>
      </c>
      <c r="F143" s="431"/>
      <c r="G143" s="187">
        <f>G144+G145+G146+G147</f>
        <v>0</v>
      </c>
      <c r="H143" s="187">
        <f>H144+H145+H146+H147</f>
        <v>0</v>
      </c>
      <c r="I143" s="445" t="s">
        <v>447</v>
      </c>
      <c r="J143" s="446"/>
      <c r="K143" s="446"/>
      <c r="L143" s="447"/>
      <c r="M143" s="188">
        <f>M144+M145+M146+M147</f>
        <v>0</v>
      </c>
      <c r="N143" s="188">
        <f>N144+N145+N146+N147</f>
        <v>0</v>
      </c>
    </row>
    <row r="144" spans="1:14" s="132" customFormat="1" ht="15.75" x14ac:dyDescent="0.25">
      <c r="A144" s="440"/>
      <c r="B144" s="441"/>
      <c r="C144" s="424"/>
      <c r="D144" s="426"/>
      <c r="E144" s="431">
        <v>2024</v>
      </c>
      <c r="F144" s="431">
        <v>2013</v>
      </c>
      <c r="G144" s="159"/>
      <c r="H144" s="159"/>
      <c r="I144" s="159"/>
      <c r="J144" s="159"/>
      <c r="K144" s="159"/>
      <c r="L144" s="159"/>
      <c r="M144" s="159"/>
      <c r="N144" s="159"/>
    </row>
    <row r="145" spans="1:14" s="132" customFormat="1" ht="15.75" x14ac:dyDescent="0.25">
      <c r="A145" s="440"/>
      <c r="B145" s="441"/>
      <c r="C145" s="424"/>
      <c r="D145" s="426"/>
      <c r="E145" s="431">
        <v>2025</v>
      </c>
      <c r="F145" s="431">
        <v>2013</v>
      </c>
      <c r="G145" s="159"/>
      <c r="H145" s="159"/>
      <c r="I145" s="159"/>
      <c r="J145" s="159"/>
      <c r="K145" s="159"/>
      <c r="L145" s="159"/>
      <c r="M145" s="159"/>
      <c r="N145" s="159"/>
    </row>
    <row r="146" spans="1:14" s="132" customFormat="1" ht="15.75" x14ac:dyDescent="0.25">
      <c r="A146" s="440"/>
      <c r="B146" s="441"/>
      <c r="C146" s="424"/>
      <c r="D146" s="426"/>
      <c r="E146" s="431">
        <v>2026</v>
      </c>
      <c r="F146" s="431">
        <v>2013</v>
      </c>
      <c r="G146" s="159"/>
      <c r="H146" s="159"/>
      <c r="I146" s="159"/>
      <c r="J146" s="159"/>
      <c r="K146" s="159"/>
      <c r="L146" s="159"/>
      <c r="M146" s="159"/>
      <c r="N146" s="159"/>
    </row>
    <row r="147" spans="1:14" s="132" customFormat="1" ht="15.75" x14ac:dyDescent="0.25">
      <c r="A147" s="440"/>
      <c r="B147" s="441"/>
      <c r="C147" s="425"/>
      <c r="D147" s="427"/>
      <c r="E147" s="431">
        <v>2027</v>
      </c>
      <c r="F147" s="431">
        <v>2013</v>
      </c>
      <c r="G147" s="159"/>
      <c r="H147" s="159"/>
      <c r="I147" s="159"/>
      <c r="J147" s="159"/>
      <c r="K147" s="159"/>
      <c r="L147" s="159"/>
      <c r="M147" s="159"/>
      <c r="N147" s="159"/>
    </row>
    <row r="148" spans="1:14" s="132" customFormat="1" ht="37.5" customHeight="1" x14ac:dyDescent="0.25">
      <c r="A148" s="440">
        <v>2</v>
      </c>
      <c r="B148" s="441"/>
      <c r="C148" s="423" t="s">
        <v>357</v>
      </c>
      <c r="D148" s="450" t="s">
        <v>358</v>
      </c>
      <c r="E148" s="431" t="s">
        <v>435</v>
      </c>
      <c r="F148" s="431"/>
      <c r="G148" s="187">
        <f>G149+G150+G151+G152</f>
        <v>144.4</v>
      </c>
      <c r="H148" s="187">
        <f>H149+H150+H151+H152</f>
        <v>0</v>
      </c>
      <c r="I148" s="159"/>
      <c r="J148" s="159"/>
      <c r="K148" s="159"/>
      <c r="L148" s="159"/>
      <c r="M148" s="188">
        <f>M149+M150+M151+M152</f>
        <v>0</v>
      </c>
      <c r="N148" s="188">
        <f>N149+N150+N151+N152</f>
        <v>18</v>
      </c>
    </row>
    <row r="149" spans="1:14" s="132" customFormat="1" ht="15.75" x14ac:dyDescent="0.25">
      <c r="A149" s="440"/>
      <c r="B149" s="441"/>
      <c r="C149" s="424"/>
      <c r="D149" s="426"/>
      <c r="E149" s="431">
        <v>2024</v>
      </c>
      <c r="F149" s="431">
        <v>2013</v>
      </c>
      <c r="G149" s="159"/>
      <c r="H149" s="159"/>
      <c r="I149" s="159"/>
      <c r="J149" s="159"/>
      <c r="K149" s="159"/>
      <c r="L149" s="159"/>
      <c r="M149" s="159"/>
      <c r="N149" s="159"/>
    </row>
    <row r="150" spans="1:14" s="132" customFormat="1" ht="15.75" x14ac:dyDescent="0.25">
      <c r="A150" s="440"/>
      <c r="B150" s="441"/>
      <c r="C150" s="424"/>
      <c r="D150" s="426"/>
      <c r="E150" s="431">
        <v>2025</v>
      </c>
      <c r="F150" s="431">
        <v>2013</v>
      </c>
      <c r="G150" s="175"/>
      <c r="H150" s="176"/>
      <c r="I150" s="176"/>
      <c r="J150" s="176"/>
      <c r="K150" s="176"/>
      <c r="L150" s="176"/>
      <c r="M150" s="175"/>
      <c r="N150" s="176"/>
    </row>
    <row r="151" spans="1:14" s="132" customFormat="1" ht="15.75" x14ac:dyDescent="0.25">
      <c r="A151" s="440"/>
      <c r="B151" s="441"/>
      <c r="C151" s="424"/>
      <c r="D151" s="426"/>
      <c r="E151" s="431">
        <v>2026</v>
      </c>
      <c r="F151" s="431">
        <v>2013</v>
      </c>
      <c r="G151" s="205"/>
      <c r="H151" s="176"/>
      <c r="I151" s="176"/>
      <c r="J151" s="176"/>
      <c r="K151" s="176"/>
      <c r="L151" s="176"/>
      <c r="M151" s="175"/>
      <c r="N151" s="176"/>
    </row>
    <row r="152" spans="1:14" s="132" customFormat="1" ht="30" customHeight="1" x14ac:dyDescent="0.25">
      <c r="A152" s="440"/>
      <c r="B152" s="441"/>
      <c r="C152" s="425"/>
      <c r="D152" s="427"/>
      <c r="E152" s="431">
        <v>2027</v>
      </c>
      <c r="F152" s="431">
        <v>2013</v>
      </c>
      <c r="G152" s="153">
        <v>144.4</v>
      </c>
      <c r="H152" s="159"/>
      <c r="I152" s="159"/>
      <c r="J152" s="159"/>
      <c r="K152" s="159"/>
      <c r="L152" s="159"/>
      <c r="M152" s="197"/>
      <c r="N152" s="198">
        <v>18</v>
      </c>
    </row>
    <row r="153" spans="1:14" s="132" customFormat="1" ht="55.5" customHeight="1" x14ac:dyDescent="0.25">
      <c r="A153" s="440">
        <v>3</v>
      </c>
      <c r="B153" s="441"/>
      <c r="C153" s="423" t="s">
        <v>359</v>
      </c>
      <c r="D153" s="450" t="s">
        <v>360</v>
      </c>
      <c r="E153" s="431" t="s">
        <v>435</v>
      </c>
      <c r="F153" s="431"/>
      <c r="G153" s="187">
        <f>G154+G155+G156+G157</f>
        <v>0</v>
      </c>
      <c r="H153" s="187">
        <f>H154+H155+H156+H157</f>
        <v>0</v>
      </c>
      <c r="I153" s="151" t="s">
        <v>361</v>
      </c>
      <c r="J153" s="151" t="s">
        <v>361</v>
      </c>
      <c r="K153" s="151" t="s">
        <v>361</v>
      </c>
      <c r="L153" s="151" t="s">
        <v>361</v>
      </c>
      <c r="M153" s="188">
        <f>M154+M155+M156+M157</f>
        <v>0</v>
      </c>
      <c r="N153" s="188">
        <f>N154+N155+N156+N157</f>
        <v>0</v>
      </c>
    </row>
    <row r="154" spans="1:14" s="132" customFormat="1" ht="15.75" x14ac:dyDescent="0.25">
      <c r="A154" s="440"/>
      <c r="B154" s="441"/>
      <c r="C154" s="424"/>
      <c r="D154" s="426"/>
      <c r="E154" s="431">
        <v>2024</v>
      </c>
      <c r="F154" s="431">
        <v>2013</v>
      </c>
      <c r="G154" s="159"/>
      <c r="H154" s="159"/>
      <c r="I154" s="159"/>
      <c r="J154" s="159"/>
      <c r="K154" s="159"/>
      <c r="L154" s="159"/>
      <c r="M154" s="159"/>
      <c r="N154" s="159"/>
    </row>
    <row r="155" spans="1:14" s="132" customFormat="1" ht="15.75" x14ac:dyDescent="0.25">
      <c r="A155" s="440"/>
      <c r="B155" s="441"/>
      <c r="C155" s="424"/>
      <c r="D155" s="426"/>
      <c r="E155" s="431">
        <v>2025</v>
      </c>
      <c r="F155" s="431">
        <v>2013</v>
      </c>
      <c r="G155" s="159"/>
      <c r="H155" s="159"/>
      <c r="I155" s="159"/>
      <c r="J155" s="159"/>
      <c r="K155" s="159"/>
      <c r="L155" s="159"/>
      <c r="M155" s="159"/>
      <c r="N155" s="159"/>
    </row>
    <row r="156" spans="1:14" s="132" customFormat="1" ht="15.75" x14ac:dyDescent="0.25">
      <c r="A156" s="440"/>
      <c r="B156" s="441"/>
      <c r="C156" s="424"/>
      <c r="D156" s="426"/>
      <c r="E156" s="431">
        <v>2026</v>
      </c>
      <c r="F156" s="431">
        <v>2013</v>
      </c>
      <c r="G156" s="159"/>
      <c r="H156" s="159"/>
      <c r="I156" s="159"/>
      <c r="J156" s="159"/>
      <c r="K156" s="159"/>
      <c r="L156" s="159"/>
      <c r="M156" s="159"/>
      <c r="N156" s="159"/>
    </row>
    <row r="157" spans="1:14" s="132" customFormat="1" ht="33.75" customHeight="1" x14ac:dyDescent="0.25">
      <c r="A157" s="440"/>
      <c r="B157" s="441"/>
      <c r="C157" s="425"/>
      <c r="D157" s="427"/>
      <c r="E157" s="431">
        <v>2027</v>
      </c>
      <c r="F157" s="431">
        <v>2013</v>
      </c>
      <c r="G157" s="159"/>
      <c r="H157" s="159"/>
      <c r="I157" s="159"/>
      <c r="J157" s="159"/>
      <c r="K157" s="159"/>
      <c r="L157" s="159"/>
      <c r="M157" s="159"/>
      <c r="N157" s="159"/>
    </row>
    <row r="158" spans="1:14" s="132" customFormat="1" ht="33.75" customHeight="1" x14ac:dyDescent="0.25">
      <c r="A158" s="489">
        <v>4</v>
      </c>
      <c r="B158" s="441"/>
      <c r="C158" s="494" t="s">
        <v>404</v>
      </c>
      <c r="D158" s="497" t="s">
        <v>405</v>
      </c>
      <c r="E158" s="431" t="s">
        <v>435</v>
      </c>
      <c r="F158" s="431"/>
      <c r="G158" s="187">
        <f>G159+G160+G161+G162</f>
        <v>0</v>
      </c>
      <c r="H158" s="187">
        <f>H159+H160+H161+H162</f>
        <v>0</v>
      </c>
      <c r="I158" s="151" t="s">
        <v>361</v>
      </c>
      <c r="J158" s="151" t="s">
        <v>361</v>
      </c>
      <c r="K158" s="151" t="s">
        <v>361</v>
      </c>
      <c r="L158" s="151" t="s">
        <v>361</v>
      </c>
      <c r="M158" s="188">
        <f>M159+M160+M161+M162</f>
        <v>0</v>
      </c>
      <c r="N158" s="188">
        <f>N159+N160+N161+N162</f>
        <v>0</v>
      </c>
    </row>
    <row r="159" spans="1:14" s="132" customFormat="1" ht="33.75" customHeight="1" x14ac:dyDescent="0.25">
      <c r="A159" s="490"/>
      <c r="B159" s="441"/>
      <c r="C159" s="495"/>
      <c r="D159" s="498"/>
      <c r="E159" s="431">
        <v>2024</v>
      </c>
      <c r="F159" s="431">
        <v>2013</v>
      </c>
      <c r="G159" s="159"/>
      <c r="H159" s="159"/>
      <c r="I159" s="159"/>
      <c r="J159" s="159"/>
      <c r="K159" s="159"/>
      <c r="L159" s="159"/>
      <c r="M159" s="159"/>
      <c r="N159" s="159"/>
    </row>
    <row r="160" spans="1:14" s="132" customFormat="1" ht="33.75" customHeight="1" x14ac:dyDescent="0.25">
      <c r="A160" s="490"/>
      <c r="B160" s="441"/>
      <c r="C160" s="495"/>
      <c r="D160" s="498"/>
      <c r="E160" s="431">
        <v>2025</v>
      </c>
      <c r="F160" s="431">
        <v>2013</v>
      </c>
      <c r="G160" s="159"/>
      <c r="H160" s="159"/>
      <c r="I160" s="159"/>
      <c r="J160" s="159"/>
      <c r="K160" s="159"/>
      <c r="L160" s="159"/>
      <c r="M160" s="159"/>
      <c r="N160" s="159"/>
    </row>
    <row r="161" spans="1:14" s="132" customFormat="1" ht="33.75" customHeight="1" x14ac:dyDescent="0.25">
      <c r="A161" s="490"/>
      <c r="B161" s="441"/>
      <c r="C161" s="495"/>
      <c r="D161" s="498"/>
      <c r="E161" s="431">
        <v>2026</v>
      </c>
      <c r="F161" s="431">
        <v>2013</v>
      </c>
      <c r="G161" s="159"/>
      <c r="H161" s="159"/>
      <c r="I161" s="159"/>
      <c r="J161" s="159"/>
      <c r="K161" s="159"/>
      <c r="L161" s="159"/>
      <c r="M161" s="159"/>
      <c r="N161" s="159"/>
    </row>
    <row r="162" spans="1:14" s="132" customFormat="1" ht="33.75" customHeight="1" x14ac:dyDescent="0.25">
      <c r="A162" s="491"/>
      <c r="B162" s="493"/>
      <c r="C162" s="496"/>
      <c r="D162" s="499"/>
      <c r="E162" s="431">
        <v>2027</v>
      </c>
      <c r="F162" s="431">
        <v>2013</v>
      </c>
      <c r="G162" s="159"/>
      <c r="H162" s="159"/>
      <c r="I162" s="159"/>
      <c r="J162" s="159"/>
      <c r="K162" s="159"/>
      <c r="L162" s="159"/>
      <c r="M162" s="159"/>
      <c r="N162" s="159"/>
    </row>
    <row r="163" spans="1:14" s="131" customFormat="1" ht="15.75" x14ac:dyDescent="0.25">
      <c r="A163" s="422" t="s">
        <v>114</v>
      </c>
      <c r="B163" s="422"/>
      <c r="C163" s="422"/>
      <c r="D163" s="422"/>
      <c r="E163" s="422"/>
      <c r="F163" s="422"/>
      <c r="G163" s="177">
        <f>G143+G148+G153+G158</f>
        <v>144.4</v>
      </c>
      <c r="H163" s="177">
        <f t="shared" ref="H163:N163" si="0">H143+H148+H153+H158</f>
        <v>0</v>
      </c>
      <c r="I163" s="177"/>
      <c r="J163" s="177"/>
      <c r="K163" s="177"/>
      <c r="L163" s="177"/>
      <c r="M163" s="177">
        <f t="shared" si="0"/>
        <v>0</v>
      </c>
      <c r="N163" s="177">
        <f t="shared" si="0"/>
        <v>18</v>
      </c>
    </row>
    <row r="164" spans="1:14" ht="30.75" customHeight="1" x14ac:dyDescent="0.2">
      <c r="A164" s="440">
        <v>1</v>
      </c>
      <c r="B164" s="441" t="s">
        <v>426</v>
      </c>
      <c r="C164" s="423" t="s">
        <v>406</v>
      </c>
      <c r="D164" s="426" t="s">
        <v>425</v>
      </c>
      <c r="E164" s="431" t="s">
        <v>435</v>
      </c>
      <c r="F164" s="431"/>
      <c r="G164" s="187">
        <f>G165+G166+G167+G168</f>
        <v>118.4</v>
      </c>
      <c r="H164" s="187">
        <f>H165+H166+H167+H168</f>
        <v>0</v>
      </c>
      <c r="I164" s="160"/>
      <c r="J164" s="160"/>
      <c r="K164" s="160"/>
      <c r="L164" s="160"/>
      <c r="M164" s="188">
        <f>M165+M166+M167+M168</f>
        <v>0</v>
      </c>
      <c r="N164" s="188">
        <f>N165+N166+N167+N168</f>
        <v>0</v>
      </c>
    </row>
    <row r="165" spans="1:14" ht="12.75" hidden="1" customHeight="1" x14ac:dyDescent="0.2">
      <c r="A165" s="440"/>
      <c r="B165" s="441"/>
      <c r="C165" s="424"/>
      <c r="D165" s="426"/>
      <c r="E165" s="431">
        <v>2024</v>
      </c>
      <c r="F165" s="431">
        <v>2013</v>
      </c>
      <c r="G165" s="160"/>
      <c r="H165" s="160"/>
      <c r="I165" s="160"/>
      <c r="J165" s="160"/>
      <c r="K165" s="160"/>
      <c r="L165" s="160"/>
      <c r="M165" s="160"/>
      <c r="N165" s="160"/>
    </row>
    <row r="166" spans="1:14" x14ac:dyDescent="0.2">
      <c r="A166" s="440"/>
      <c r="B166" s="441"/>
      <c r="C166" s="424"/>
      <c r="D166" s="426"/>
      <c r="E166" s="431">
        <v>2025</v>
      </c>
      <c r="F166" s="431">
        <v>2013</v>
      </c>
      <c r="G166" s="166">
        <v>118.4</v>
      </c>
      <c r="H166" s="160"/>
      <c r="I166" s="160"/>
      <c r="J166" s="160"/>
      <c r="K166" s="160"/>
      <c r="L166" s="160"/>
      <c r="M166" s="160"/>
      <c r="N166" s="160"/>
    </row>
    <row r="167" spans="1:14" x14ac:dyDescent="0.2">
      <c r="A167" s="440"/>
      <c r="B167" s="441"/>
      <c r="C167" s="424"/>
      <c r="D167" s="426"/>
      <c r="E167" s="431">
        <v>2026</v>
      </c>
      <c r="F167" s="431">
        <v>2013</v>
      </c>
      <c r="G167" s="160"/>
      <c r="H167" s="160"/>
      <c r="I167" s="160"/>
      <c r="J167" s="160"/>
      <c r="K167" s="160"/>
      <c r="L167" s="160"/>
      <c r="M167" s="160"/>
      <c r="N167" s="160"/>
    </row>
    <row r="168" spans="1:14" x14ac:dyDescent="0.2">
      <c r="A168" s="440"/>
      <c r="B168" s="441"/>
      <c r="C168" s="425"/>
      <c r="D168" s="426"/>
      <c r="E168" s="431">
        <v>2027</v>
      </c>
      <c r="F168" s="431">
        <v>2013</v>
      </c>
      <c r="G168" s="160"/>
      <c r="H168" s="160"/>
      <c r="I168" s="160"/>
      <c r="J168" s="160"/>
      <c r="K168" s="160"/>
      <c r="L168" s="160"/>
      <c r="M168" s="160"/>
      <c r="N168" s="160"/>
    </row>
    <row r="169" spans="1:14" ht="25.5" customHeight="1" x14ac:dyDescent="0.2">
      <c r="A169" s="440">
        <v>2</v>
      </c>
      <c r="B169" s="441"/>
      <c r="C169" s="423" t="s">
        <v>414</v>
      </c>
      <c r="D169" s="426"/>
      <c r="E169" s="431" t="s">
        <v>435</v>
      </c>
      <c r="F169" s="431"/>
      <c r="G169" s="187">
        <f>G171+G172</f>
        <v>1240.0999999999999</v>
      </c>
      <c r="H169" s="187">
        <f>H170+H171+H172</f>
        <v>0</v>
      </c>
      <c r="I169" s="160"/>
      <c r="J169" s="160"/>
      <c r="K169" s="160"/>
      <c r="L169" s="160"/>
      <c r="M169" s="188">
        <f>M170+M171+M172</f>
        <v>0</v>
      </c>
      <c r="N169" s="188">
        <f>N170+N171+N172</f>
        <v>0</v>
      </c>
    </row>
    <row r="170" spans="1:14" x14ac:dyDescent="0.2">
      <c r="A170" s="440"/>
      <c r="B170" s="441"/>
      <c r="C170" s="424"/>
      <c r="D170" s="426"/>
      <c r="E170" s="431">
        <v>2024</v>
      </c>
      <c r="F170" s="431">
        <v>2013</v>
      </c>
      <c r="G170" s="166"/>
      <c r="H170" s="160"/>
      <c r="I170" s="160"/>
      <c r="J170" s="160"/>
      <c r="K170" s="160"/>
      <c r="L170" s="160"/>
      <c r="M170" s="160"/>
      <c r="N170" s="160"/>
    </row>
    <row r="171" spans="1:14" x14ac:dyDescent="0.2">
      <c r="A171" s="440"/>
      <c r="B171" s="441"/>
      <c r="C171" s="424"/>
      <c r="D171" s="426"/>
      <c r="E171" s="431">
        <v>2025</v>
      </c>
      <c r="F171" s="431">
        <v>2013</v>
      </c>
      <c r="G171" s="153">
        <v>797.1</v>
      </c>
      <c r="H171" s="160"/>
      <c r="I171" s="160"/>
      <c r="J171" s="160"/>
      <c r="K171" s="160"/>
      <c r="L171" s="160"/>
      <c r="M171" s="160"/>
      <c r="N171" s="160"/>
    </row>
    <row r="172" spans="1:14" x14ac:dyDescent="0.2">
      <c r="A172" s="440"/>
      <c r="B172" s="441"/>
      <c r="C172" s="425"/>
      <c r="D172" s="427"/>
      <c r="E172" s="431">
        <v>2026</v>
      </c>
      <c r="F172" s="431">
        <v>2013</v>
      </c>
      <c r="G172" s="153">
        <v>443</v>
      </c>
      <c r="H172" s="160"/>
      <c r="I172" s="160"/>
      <c r="J172" s="160"/>
      <c r="K172" s="160"/>
      <c r="L172" s="160"/>
      <c r="M172" s="160"/>
      <c r="N172" s="160"/>
    </row>
    <row r="173" spans="1:14" ht="15.75" x14ac:dyDescent="0.25">
      <c r="A173" s="422" t="s">
        <v>114</v>
      </c>
      <c r="B173" s="422"/>
      <c r="C173" s="422"/>
      <c r="D173" s="422"/>
      <c r="E173" s="422"/>
      <c r="F173" s="422"/>
      <c r="G173" s="177">
        <f>G164+G169</f>
        <v>1358.5</v>
      </c>
      <c r="H173" s="177">
        <f t="shared" ref="H173:N173" si="1">H164+H169</f>
        <v>0</v>
      </c>
      <c r="I173" s="177">
        <f t="shared" si="1"/>
        <v>0</v>
      </c>
      <c r="J173" s="177">
        <f t="shared" si="1"/>
        <v>0</v>
      </c>
      <c r="K173" s="177">
        <f t="shared" si="1"/>
        <v>0</v>
      </c>
      <c r="L173" s="177">
        <f t="shared" si="1"/>
        <v>0</v>
      </c>
      <c r="M173" s="177">
        <f t="shared" si="1"/>
        <v>0</v>
      </c>
      <c r="N173" s="177">
        <f t="shared" si="1"/>
        <v>0</v>
      </c>
    </row>
    <row r="174" spans="1:14" s="132" customFormat="1" ht="33.75" customHeight="1" x14ac:dyDescent="0.25">
      <c r="A174" s="432">
        <v>1</v>
      </c>
      <c r="B174" s="437" t="s">
        <v>451</v>
      </c>
      <c r="C174" s="435" t="s">
        <v>448</v>
      </c>
      <c r="D174" s="435" t="s">
        <v>449</v>
      </c>
      <c r="E174" s="431" t="s">
        <v>435</v>
      </c>
      <c r="F174" s="431"/>
      <c r="G174" s="187">
        <f>G175+G176+G177+G178</f>
        <v>49666.76</v>
      </c>
      <c r="H174" s="187"/>
      <c r="I174" s="212">
        <f>I175+I176+I177+I178</f>
        <v>2.8095929999999996</v>
      </c>
      <c r="J174" s="206">
        <v>18</v>
      </c>
      <c r="K174" s="206">
        <v>1.2270000000000001</v>
      </c>
      <c r="L174" s="206"/>
      <c r="M174" s="210">
        <f>M175+M176+M177+M178</f>
        <v>-5.3928320000000003</v>
      </c>
      <c r="N174" s="210">
        <f>N175+N176+N177+N178</f>
        <v>6.25</v>
      </c>
    </row>
    <row r="175" spans="1:14" s="132" customFormat="1" ht="33.75" customHeight="1" x14ac:dyDescent="0.25">
      <c r="A175" s="433"/>
      <c r="B175" s="438"/>
      <c r="C175" s="436"/>
      <c r="D175" s="436"/>
      <c r="E175" s="431">
        <v>2024</v>
      </c>
      <c r="F175" s="431">
        <v>2013</v>
      </c>
      <c r="G175" s="211">
        <v>33955.300000000003</v>
      </c>
      <c r="H175" s="211" t="s">
        <v>450</v>
      </c>
      <c r="I175" s="212">
        <v>5.4999999999999997E-3</v>
      </c>
      <c r="J175" s="153">
        <v>0</v>
      </c>
      <c r="K175" s="153">
        <v>0.3</v>
      </c>
      <c r="L175" s="207"/>
      <c r="M175" s="209">
        <v>-0.59612500000000002</v>
      </c>
      <c r="N175" s="209">
        <v>1.25</v>
      </c>
    </row>
    <row r="176" spans="1:14" s="132" customFormat="1" ht="33.75" customHeight="1" x14ac:dyDescent="0.25">
      <c r="A176" s="433"/>
      <c r="B176" s="438"/>
      <c r="C176" s="436"/>
      <c r="D176" s="436"/>
      <c r="E176" s="431">
        <v>2025</v>
      </c>
      <c r="F176" s="431">
        <v>2013</v>
      </c>
      <c r="G176" s="211">
        <v>15711.46</v>
      </c>
      <c r="H176" s="211" t="s">
        <v>450</v>
      </c>
      <c r="I176" s="212">
        <v>5.5100000000000001E-3</v>
      </c>
      <c r="J176" s="153">
        <v>0</v>
      </c>
      <c r="K176" s="153">
        <v>0.30599999999999999</v>
      </c>
      <c r="L176" s="207"/>
      <c r="M176" s="209">
        <v>-2.3639900000000003</v>
      </c>
      <c r="N176" s="209">
        <v>3.75</v>
      </c>
    </row>
    <row r="177" spans="1:14" s="132" customFormat="1" ht="33.75" customHeight="1" x14ac:dyDescent="0.25">
      <c r="A177" s="433"/>
      <c r="B177" s="438"/>
      <c r="C177" s="436"/>
      <c r="D177" s="436"/>
      <c r="E177" s="431">
        <v>2026</v>
      </c>
      <c r="F177" s="431">
        <v>2013</v>
      </c>
      <c r="G177" s="207"/>
      <c r="H177" s="207"/>
      <c r="I177" s="212">
        <v>5.5640000000000004E-3</v>
      </c>
      <c r="J177" s="153">
        <v>0</v>
      </c>
      <c r="K177" s="153">
        <v>0.309</v>
      </c>
      <c r="L177" s="207"/>
      <c r="M177" s="209">
        <v>-2.3639359999999998</v>
      </c>
      <c r="N177" s="209">
        <v>0</v>
      </c>
    </row>
    <row r="178" spans="1:14" s="132" customFormat="1" ht="33.75" customHeight="1" x14ac:dyDescent="0.25">
      <c r="A178" s="434"/>
      <c r="B178" s="439"/>
      <c r="C178" s="436"/>
      <c r="D178" s="436"/>
      <c r="E178" s="431">
        <v>2027</v>
      </c>
      <c r="F178" s="431">
        <v>2013</v>
      </c>
      <c r="G178" s="207"/>
      <c r="H178" s="207"/>
      <c r="I178" s="212">
        <f>2.7874+0.005619</f>
        <v>2.7930189999999997</v>
      </c>
      <c r="J178" s="153">
        <v>18</v>
      </c>
      <c r="K178" s="153">
        <v>0.312</v>
      </c>
      <c r="L178" s="207"/>
      <c r="M178" s="209">
        <v>-6.8781000000000259E-2</v>
      </c>
      <c r="N178" s="209">
        <v>1.25</v>
      </c>
    </row>
    <row r="179" spans="1:14" ht="15.75" x14ac:dyDescent="0.25">
      <c r="A179" s="422" t="s">
        <v>114</v>
      </c>
      <c r="B179" s="422"/>
      <c r="C179" s="422"/>
      <c r="D179" s="422"/>
      <c r="E179" s="422"/>
      <c r="F179" s="422"/>
      <c r="G179" s="177">
        <f>G174</f>
        <v>49666.76</v>
      </c>
      <c r="H179" s="177">
        <f>H174</f>
        <v>0</v>
      </c>
      <c r="I179" s="177">
        <f>I174</f>
        <v>2.8095929999999996</v>
      </c>
      <c r="J179" s="177">
        <f t="shared" ref="J179:N179" si="2">J174</f>
        <v>18</v>
      </c>
      <c r="K179" s="177">
        <f t="shared" si="2"/>
        <v>1.2270000000000001</v>
      </c>
      <c r="L179" s="177">
        <f t="shared" si="2"/>
        <v>0</v>
      </c>
      <c r="M179" s="177">
        <f t="shared" si="2"/>
        <v>-5.3928320000000003</v>
      </c>
      <c r="N179" s="177">
        <f t="shared" si="2"/>
        <v>6.25</v>
      </c>
    </row>
    <row r="180" spans="1:14" ht="15.75" x14ac:dyDescent="0.25">
      <c r="A180" s="428" t="s">
        <v>407</v>
      </c>
      <c r="B180" s="429"/>
      <c r="C180" s="429"/>
      <c r="D180" s="429"/>
      <c r="E180" s="429"/>
      <c r="F180" s="430"/>
      <c r="G180" s="178">
        <f>G142+G163+G173+G179</f>
        <v>60684.841</v>
      </c>
      <c r="H180" s="178">
        <f t="shared" ref="H180:N180" si="3">H142+H163+H173+H179</f>
        <v>0</v>
      </c>
      <c r="I180" s="178">
        <f t="shared" si="3"/>
        <v>2.8095929999999996</v>
      </c>
      <c r="J180" s="178">
        <f t="shared" si="3"/>
        <v>18</v>
      </c>
      <c r="K180" s="178">
        <f t="shared" si="3"/>
        <v>1.2270000000000001</v>
      </c>
      <c r="L180" s="178">
        <f t="shared" si="3"/>
        <v>0</v>
      </c>
      <c r="M180" s="178">
        <f t="shared" si="3"/>
        <v>-5.3928320000000003</v>
      </c>
      <c r="N180" s="178">
        <f t="shared" si="3"/>
        <v>202.25</v>
      </c>
    </row>
  </sheetData>
  <mergeCells count="305">
    <mergeCell ref="E14:F14"/>
    <mergeCell ref="E15:F15"/>
    <mergeCell ref="A158:A162"/>
    <mergeCell ref="B143:B162"/>
    <mergeCell ref="C153:C157"/>
    <mergeCell ref="D153:D157"/>
    <mergeCell ref="C143:C147"/>
    <mergeCell ref="D143:D147"/>
    <mergeCell ref="E143:F143"/>
    <mergeCell ref="E144:F144"/>
    <mergeCell ref="E145:F145"/>
    <mergeCell ref="E146:F146"/>
    <mergeCell ref="D148:D152"/>
    <mergeCell ref="E148:F148"/>
    <mergeCell ref="E149:F149"/>
    <mergeCell ref="E150:F150"/>
    <mergeCell ref="E151:F151"/>
    <mergeCell ref="E152:F152"/>
    <mergeCell ref="E162:F162"/>
    <mergeCell ref="C158:C162"/>
    <mergeCell ref="D158:D162"/>
    <mergeCell ref="E158:F158"/>
    <mergeCell ref="E32:F32"/>
    <mergeCell ref="E33:F33"/>
    <mergeCell ref="I1:N1"/>
    <mergeCell ref="E16:F16"/>
    <mergeCell ref="E12:F12"/>
    <mergeCell ref="E13:F13"/>
    <mergeCell ref="E7:F7"/>
    <mergeCell ref="E8:F8"/>
    <mergeCell ref="E9:F9"/>
    <mergeCell ref="C12:C16"/>
    <mergeCell ref="D12:D16"/>
    <mergeCell ref="C7:C11"/>
    <mergeCell ref="D7:D11"/>
    <mergeCell ref="A3:N3"/>
    <mergeCell ref="M5:M6"/>
    <mergeCell ref="A5:A6"/>
    <mergeCell ref="D5:D6"/>
    <mergeCell ref="H5:H6"/>
    <mergeCell ref="N5:N6"/>
    <mergeCell ref="G5:G6"/>
    <mergeCell ref="I5:L5"/>
    <mergeCell ref="B5:B6"/>
    <mergeCell ref="C5:C6"/>
    <mergeCell ref="E5:F6"/>
    <mergeCell ref="A12:A16"/>
    <mergeCell ref="E10:F10"/>
    <mergeCell ref="I22:I26"/>
    <mergeCell ref="E23:F23"/>
    <mergeCell ref="E24:F24"/>
    <mergeCell ref="E25:F25"/>
    <mergeCell ref="E26:F26"/>
    <mergeCell ref="I17:I21"/>
    <mergeCell ref="E18:F18"/>
    <mergeCell ref="E19:F19"/>
    <mergeCell ref="E20:F20"/>
    <mergeCell ref="E21:F21"/>
    <mergeCell ref="E17:F17"/>
    <mergeCell ref="E22:F22"/>
    <mergeCell ref="E34:F34"/>
    <mergeCell ref="I34:I35"/>
    <mergeCell ref="E35:F35"/>
    <mergeCell ref="I27:I31"/>
    <mergeCell ref="E28:F28"/>
    <mergeCell ref="E29:F29"/>
    <mergeCell ref="E30:F30"/>
    <mergeCell ref="E31:F31"/>
    <mergeCell ref="E27:F27"/>
    <mergeCell ref="E36:F36"/>
    <mergeCell ref="A37:A41"/>
    <mergeCell ref="C37:C41"/>
    <mergeCell ref="D37:D41"/>
    <mergeCell ref="E37:F37"/>
    <mergeCell ref="E38:F38"/>
    <mergeCell ref="E39:F39"/>
    <mergeCell ref="E40:F40"/>
    <mergeCell ref="E41:F41"/>
    <mergeCell ref="B7:B141"/>
    <mergeCell ref="A17:A21"/>
    <mergeCell ref="C17:C21"/>
    <mergeCell ref="D17:D21"/>
    <mergeCell ref="A22:A26"/>
    <mergeCell ref="C22:C26"/>
    <mergeCell ref="D22:D26"/>
    <mergeCell ref="A27:A31"/>
    <mergeCell ref="C27:C31"/>
    <mergeCell ref="D27:D31"/>
    <mergeCell ref="A32:A36"/>
    <mergeCell ref="C32:C36"/>
    <mergeCell ref="D32:D36"/>
    <mergeCell ref="A7:A11"/>
    <mergeCell ref="E11:F11"/>
    <mergeCell ref="A42:A46"/>
    <mergeCell ref="C42:C46"/>
    <mergeCell ref="D42:D46"/>
    <mergeCell ref="E42:F42"/>
    <mergeCell ref="I42:I46"/>
    <mergeCell ref="E43:F43"/>
    <mergeCell ref="E44:F44"/>
    <mergeCell ref="E45:F45"/>
    <mergeCell ref="E46:F46"/>
    <mergeCell ref="I52:I56"/>
    <mergeCell ref="E53:F53"/>
    <mergeCell ref="E54:F54"/>
    <mergeCell ref="E55:F55"/>
    <mergeCell ref="E56:F56"/>
    <mergeCell ref="A47:A51"/>
    <mergeCell ref="C47:C51"/>
    <mergeCell ref="D47:D51"/>
    <mergeCell ref="E47:F47"/>
    <mergeCell ref="I47:I51"/>
    <mergeCell ref="E48:F48"/>
    <mergeCell ref="E49:F49"/>
    <mergeCell ref="E50:F50"/>
    <mergeCell ref="E51:F51"/>
    <mergeCell ref="A57:A61"/>
    <mergeCell ref="C57:C61"/>
    <mergeCell ref="D57:D61"/>
    <mergeCell ref="E57:F57"/>
    <mergeCell ref="E58:F58"/>
    <mergeCell ref="E59:F59"/>
    <mergeCell ref="E60:F60"/>
    <mergeCell ref="E61:F61"/>
    <mergeCell ref="A52:A56"/>
    <mergeCell ref="C52:C56"/>
    <mergeCell ref="D52:D56"/>
    <mergeCell ref="E52:F52"/>
    <mergeCell ref="A67:A71"/>
    <mergeCell ref="C67:C71"/>
    <mergeCell ref="D67:D71"/>
    <mergeCell ref="E67:F67"/>
    <mergeCell ref="E68:F68"/>
    <mergeCell ref="E69:F69"/>
    <mergeCell ref="E70:F70"/>
    <mergeCell ref="E71:F71"/>
    <mergeCell ref="A62:A66"/>
    <mergeCell ref="C62:C66"/>
    <mergeCell ref="D62:D66"/>
    <mergeCell ref="E62:F62"/>
    <mergeCell ref="E63:F63"/>
    <mergeCell ref="E64:F64"/>
    <mergeCell ref="E65:F65"/>
    <mergeCell ref="E66:F66"/>
    <mergeCell ref="I73:I75"/>
    <mergeCell ref="J73:J75"/>
    <mergeCell ref="K73:K75"/>
    <mergeCell ref="E74:F74"/>
    <mergeCell ref="E75:F75"/>
    <mergeCell ref="A72:A76"/>
    <mergeCell ref="C72:C76"/>
    <mergeCell ref="D72:D76"/>
    <mergeCell ref="E72:F72"/>
    <mergeCell ref="E73:F73"/>
    <mergeCell ref="E76:F76"/>
    <mergeCell ref="A82:A86"/>
    <mergeCell ref="C82:C86"/>
    <mergeCell ref="D82:D86"/>
    <mergeCell ref="E82:F82"/>
    <mergeCell ref="E83:F83"/>
    <mergeCell ref="E84:F84"/>
    <mergeCell ref="E85:F85"/>
    <mergeCell ref="E86:F86"/>
    <mergeCell ref="A77:A81"/>
    <mergeCell ref="C77:C81"/>
    <mergeCell ref="D77:D81"/>
    <mergeCell ref="E77:F77"/>
    <mergeCell ref="E78:F78"/>
    <mergeCell ref="E79:F79"/>
    <mergeCell ref="E80:F80"/>
    <mergeCell ref="E81:F81"/>
    <mergeCell ref="J88:K88"/>
    <mergeCell ref="E89:F89"/>
    <mergeCell ref="E90:F90"/>
    <mergeCell ref="E91:F91"/>
    <mergeCell ref="A92:A96"/>
    <mergeCell ref="C92:C96"/>
    <mergeCell ref="D92:D96"/>
    <mergeCell ref="E92:F92"/>
    <mergeCell ref="E93:F93"/>
    <mergeCell ref="E94:F94"/>
    <mergeCell ref="E95:F95"/>
    <mergeCell ref="E96:F96"/>
    <mergeCell ref="A87:A91"/>
    <mergeCell ref="C87:C91"/>
    <mergeCell ref="D87:D91"/>
    <mergeCell ref="E87:F87"/>
    <mergeCell ref="E88:F88"/>
    <mergeCell ref="A102:A106"/>
    <mergeCell ref="C102:C106"/>
    <mergeCell ref="D102:D106"/>
    <mergeCell ref="E102:F102"/>
    <mergeCell ref="E103:F103"/>
    <mergeCell ref="E104:F104"/>
    <mergeCell ref="E105:F105"/>
    <mergeCell ref="E106:F106"/>
    <mergeCell ref="A97:A101"/>
    <mergeCell ref="C97:C101"/>
    <mergeCell ref="D97:D101"/>
    <mergeCell ref="E97:F97"/>
    <mergeCell ref="E98:F98"/>
    <mergeCell ref="E99:F99"/>
    <mergeCell ref="E100:F100"/>
    <mergeCell ref="E101:F101"/>
    <mergeCell ref="A112:A116"/>
    <mergeCell ref="C112:C116"/>
    <mergeCell ref="D112:D116"/>
    <mergeCell ref="E112:F112"/>
    <mergeCell ref="E113:F113"/>
    <mergeCell ref="E114:F114"/>
    <mergeCell ref="E115:F115"/>
    <mergeCell ref="E116:F116"/>
    <mergeCell ref="A107:A111"/>
    <mergeCell ref="C107:C111"/>
    <mergeCell ref="D107:D111"/>
    <mergeCell ref="E107:F107"/>
    <mergeCell ref="E108:F108"/>
    <mergeCell ref="E109:F109"/>
    <mergeCell ref="E110:F110"/>
    <mergeCell ref="E111:F111"/>
    <mergeCell ref="I122:I126"/>
    <mergeCell ref="E123:F123"/>
    <mergeCell ref="E124:F124"/>
    <mergeCell ref="E125:F125"/>
    <mergeCell ref="E126:F126"/>
    <mergeCell ref="A117:A121"/>
    <mergeCell ref="C117:C121"/>
    <mergeCell ref="D117:D121"/>
    <mergeCell ref="E117:F117"/>
    <mergeCell ref="E118:F118"/>
    <mergeCell ref="E119:F119"/>
    <mergeCell ref="E120:F120"/>
    <mergeCell ref="E121:F121"/>
    <mergeCell ref="A127:A131"/>
    <mergeCell ref="C127:C131"/>
    <mergeCell ref="D127:D131"/>
    <mergeCell ref="E127:F127"/>
    <mergeCell ref="E128:F128"/>
    <mergeCell ref="E129:F129"/>
    <mergeCell ref="E130:F130"/>
    <mergeCell ref="E131:F131"/>
    <mergeCell ref="A122:A126"/>
    <mergeCell ref="C122:C126"/>
    <mergeCell ref="D122:D126"/>
    <mergeCell ref="E122:F122"/>
    <mergeCell ref="A132:A136"/>
    <mergeCell ref="C132:C136"/>
    <mergeCell ref="D132:D136"/>
    <mergeCell ref="E132:F132"/>
    <mergeCell ref="E133:F133"/>
    <mergeCell ref="E134:F134"/>
    <mergeCell ref="E135:F135"/>
    <mergeCell ref="E136:F136"/>
    <mergeCell ref="A137:A141"/>
    <mergeCell ref="C137:C141"/>
    <mergeCell ref="D137:D141"/>
    <mergeCell ref="E137:F137"/>
    <mergeCell ref="E153:F153"/>
    <mergeCell ref="E154:F154"/>
    <mergeCell ref="E155:F155"/>
    <mergeCell ref="E156:F156"/>
    <mergeCell ref="E157:F157"/>
    <mergeCell ref="E160:F160"/>
    <mergeCell ref="I137:I141"/>
    <mergeCell ref="E138:F138"/>
    <mergeCell ref="E139:F139"/>
    <mergeCell ref="E140:F140"/>
    <mergeCell ref="E141:F141"/>
    <mergeCell ref="I143:L143"/>
    <mergeCell ref="A142:F142"/>
    <mergeCell ref="A143:A147"/>
    <mergeCell ref="E147:F147"/>
    <mergeCell ref="E164:F164"/>
    <mergeCell ref="E165:F165"/>
    <mergeCell ref="E166:F166"/>
    <mergeCell ref="E167:F167"/>
    <mergeCell ref="E168:F168"/>
    <mergeCell ref="A169:A172"/>
    <mergeCell ref="C169:C172"/>
    <mergeCell ref="E159:F159"/>
    <mergeCell ref="E161:F161"/>
    <mergeCell ref="A179:F179"/>
    <mergeCell ref="C148:C152"/>
    <mergeCell ref="A173:F173"/>
    <mergeCell ref="D164:D172"/>
    <mergeCell ref="A180:F180"/>
    <mergeCell ref="E169:F169"/>
    <mergeCell ref="E170:F170"/>
    <mergeCell ref="E171:F171"/>
    <mergeCell ref="E172:F172"/>
    <mergeCell ref="A174:A178"/>
    <mergeCell ref="C174:C178"/>
    <mergeCell ref="D174:D178"/>
    <mergeCell ref="E174:F174"/>
    <mergeCell ref="E175:F175"/>
    <mergeCell ref="E176:F176"/>
    <mergeCell ref="E177:F177"/>
    <mergeCell ref="E178:F178"/>
    <mergeCell ref="B174:B178"/>
    <mergeCell ref="A163:F163"/>
    <mergeCell ref="A153:A157"/>
    <mergeCell ref="A148:A152"/>
    <mergeCell ref="B164:B172"/>
    <mergeCell ref="A164:A168"/>
    <mergeCell ref="C164:C168"/>
  </mergeCells>
  <phoneticPr fontId="14" type="noConversion"/>
  <printOptions horizontalCentered="1"/>
  <pageMargins left="0.23622047244094491" right="0.19685039370078741" top="0.19685039370078741" bottom="0.19685039370078741" header="0.51181102362204722" footer="0.51181102362204722"/>
  <pageSetup paperSize="9" scale="4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Прогноз 2025-2027 </vt:lpstr>
      <vt:lpstr>Прил 1 (расчет ИФО) (2)</vt:lpstr>
      <vt:lpstr>Прил 2 Прогноз по поселениям</vt:lpstr>
      <vt:lpstr>Прил 3 Инвестпроекты</vt:lpstr>
      <vt:lpstr>'Прил 2 Прогноз по поселениям'!Заголовки_для_печати</vt:lpstr>
      <vt:lpstr>'Прогноз 2025-2027 '!Заголовки_для_печати</vt:lpstr>
      <vt:lpstr>'Прил 1 (расчет ИФО) (2)'!Область_печати</vt:lpstr>
      <vt:lpstr>'Прил 2 Прогноз по поселениям'!Область_печати</vt:lpstr>
      <vt:lpstr>'Прогноз 2025-2027 '!Область_печати</vt:lpstr>
    </vt:vector>
  </TitlesOfParts>
  <Company>AoIR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Орлова Юлия Анатольевна</cp:lastModifiedBy>
  <cp:lastPrinted>2024-11-06T08:40:27Z</cp:lastPrinted>
  <dcterms:created xsi:type="dcterms:W3CDTF">2006-03-06T08:26:24Z</dcterms:created>
  <dcterms:modified xsi:type="dcterms:W3CDTF">2024-11-06T08:41:15Z</dcterms:modified>
</cp:coreProperties>
</file>