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30" windowWidth="25725" windowHeight="12525" tabRatio="859"/>
  </bookViews>
  <sheets>
    <sheet name="Прогноз 2024-2026 " sheetId="1" r:id="rId1"/>
    <sheet name="Приложение 1" sheetId="15" r:id="rId2"/>
    <sheet name="Прил 2 (расчет ИФО) (2)" sheetId="9" r:id="rId3"/>
    <sheet name="Прил 3 Прогноз по поселениям" sheetId="8" r:id="rId4"/>
    <sheet name="Прил 4 Инвестпроекты" sheetId="12" r:id="rId5"/>
  </sheets>
  <externalReferences>
    <externalReference r:id="rId6"/>
    <externalReference r:id="rId7"/>
    <externalReference r:id="rId8"/>
    <externalReference r:id="rId9"/>
  </externalReferences>
  <definedNames>
    <definedName name="_xlnm.Print_Titles" localSheetId="3">'Прил 3 Прогноз по поселениям'!$A:$A,'Прил 3 Прогноз по поселениям'!$4:$7</definedName>
    <definedName name="_xlnm.Print_Titles" localSheetId="1">'Приложение 1'!$A:$A,'Приложение 1'!$4:$7</definedName>
    <definedName name="_xlnm.Print_Titles" localSheetId="0">'Прогноз 2024-2026 '!$4:$6</definedName>
    <definedName name="_xlnm.Print_Area" localSheetId="2">'Прил 2 (расчет ИФО) (2)'!$A$1:$V$123</definedName>
    <definedName name="_xlnm.Print_Area" localSheetId="3">'Прил 3 Прогноз по поселениям'!$A$1:$BC$18</definedName>
    <definedName name="_xlnm.Print_Area" localSheetId="1">'Приложение 1'!$A$1:$AL$84</definedName>
    <definedName name="_xlnm.Print_Area" localSheetId="0">'Прогноз 2024-2026 '!$A$1:$I$168</definedName>
  </definedNames>
  <calcPr calcId="145621"/>
</workbook>
</file>

<file path=xl/calcChain.xml><?xml version="1.0" encoding="utf-8"?>
<calcChain xmlns="http://schemas.openxmlformats.org/spreadsheetml/2006/main">
  <c r="L96" i="9" l="1"/>
  <c r="O84" i="15" l="1"/>
  <c r="P84" i="15"/>
  <c r="Q84" i="15"/>
  <c r="R84" i="15"/>
  <c r="S84" i="15"/>
  <c r="T84" i="15"/>
  <c r="P76" i="15"/>
  <c r="Q76" i="15"/>
  <c r="R76" i="15"/>
  <c r="S76" i="15"/>
  <c r="T76" i="15"/>
  <c r="O76" i="15"/>
  <c r="O72" i="15"/>
  <c r="O65" i="15"/>
  <c r="O59" i="15"/>
  <c r="O49" i="15"/>
  <c r="O42" i="15"/>
  <c r="O19" i="15"/>
  <c r="AH62" i="15"/>
  <c r="AH63" i="15"/>
  <c r="AH61" i="15"/>
  <c r="AH74" i="15"/>
  <c r="H75" i="15"/>
  <c r="G75" i="15"/>
  <c r="F75" i="15"/>
  <c r="E75" i="15"/>
  <c r="H81" i="15"/>
  <c r="G81" i="15"/>
  <c r="F81" i="15"/>
  <c r="E81" i="15"/>
  <c r="N80" i="15"/>
  <c r="M80" i="15"/>
  <c r="L80" i="15"/>
  <c r="K80" i="15"/>
  <c r="J80" i="15"/>
  <c r="I80" i="15"/>
  <c r="H80" i="15"/>
  <c r="G80" i="15"/>
  <c r="F80" i="15"/>
  <c r="E80" i="15"/>
  <c r="AG26" i="15"/>
  <c r="N52" i="15"/>
  <c r="N53" i="15"/>
  <c r="H53" i="15"/>
  <c r="G53" i="15"/>
  <c r="F53" i="15"/>
  <c r="E53" i="15"/>
  <c r="Q52" i="15"/>
  <c r="P52" i="15"/>
  <c r="D52" i="15"/>
  <c r="E52" i="15"/>
  <c r="H30" i="15"/>
  <c r="G30" i="15"/>
  <c r="F30" i="15"/>
  <c r="E30" i="15"/>
  <c r="E26" i="15" s="1"/>
  <c r="C26" i="15"/>
  <c r="D26" i="15"/>
  <c r="C21" i="15"/>
  <c r="E21" i="15"/>
  <c r="F21" i="15"/>
  <c r="G21" i="15"/>
  <c r="H21" i="15"/>
  <c r="D21" i="15"/>
  <c r="AH25" i="15"/>
  <c r="H25" i="15"/>
  <c r="G25" i="15"/>
  <c r="F25" i="15"/>
  <c r="E25" i="15"/>
  <c r="H23" i="15" l="1"/>
  <c r="G23" i="15"/>
  <c r="F23" i="15"/>
  <c r="AI23" i="15"/>
  <c r="E23" i="15"/>
  <c r="AG94" i="15"/>
  <c r="AH84" i="15"/>
  <c r="AG84" i="15"/>
  <c r="AA84" i="15"/>
  <c r="W76" i="15"/>
  <c r="U76" i="15"/>
  <c r="C84" i="15"/>
  <c r="H69" i="15"/>
  <c r="G69" i="15"/>
  <c r="F69" i="15"/>
  <c r="E69" i="15"/>
  <c r="D72" i="15" l="1"/>
  <c r="C72" i="15"/>
  <c r="D59" i="15"/>
  <c r="C59" i="15"/>
  <c r="D55" i="15"/>
  <c r="C55" i="15"/>
  <c r="D49" i="15"/>
  <c r="C49" i="15"/>
  <c r="D42" i="15"/>
  <c r="C42" i="15"/>
  <c r="D19" i="15"/>
  <c r="C19" i="15"/>
  <c r="D13" i="15"/>
  <c r="C13" i="15"/>
  <c r="D65" i="15"/>
  <c r="C65" i="15"/>
  <c r="H68" i="15"/>
  <c r="G68" i="15"/>
  <c r="F68" i="15"/>
  <c r="E68" i="15"/>
  <c r="AQ16" i="8" l="1"/>
  <c r="AW10" i="8"/>
  <c r="AW11" i="8"/>
  <c r="AW12" i="8"/>
  <c r="AW13" i="8"/>
  <c r="AW14" i="8"/>
  <c r="AW15" i="8"/>
  <c r="AW9" i="8"/>
  <c r="AW8" i="8"/>
  <c r="AS16" i="8"/>
  <c r="AS14" i="8"/>
  <c r="AS13" i="8"/>
  <c r="AS12" i="8"/>
  <c r="AS11" i="8"/>
  <c r="AS10" i="8"/>
  <c r="AS9" i="8"/>
  <c r="AS8" i="8"/>
  <c r="AR9" i="8"/>
  <c r="AR14" i="8"/>
  <c r="AR13" i="8"/>
  <c r="AR12" i="8"/>
  <c r="AR11" i="8"/>
  <c r="AR10" i="8"/>
  <c r="AR8" i="8"/>
  <c r="AR16" i="8" l="1"/>
  <c r="E152" i="1" l="1"/>
  <c r="E23" i="1"/>
  <c r="E21" i="1"/>
  <c r="E72" i="15" s="1"/>
  <c r="E20" i="1"/>
  <c r="E65" i="15" s="1"/>
  <c r="E18" i="1"/>
  <c r="E55" i="15" s="1"/>
  <c r="E35" i="1"/>
  <c r="F35" i="1"/>
  <c r="E19" i="1"/>
  <c r="E59" i="15" s="1"/>
  <c r="H10" i="1"/>
  <c r="I10" i="1" s="1"/>
  <c r="G10" i="1"/>
  <c r="F10" i="1" s="1"/>
  <c r="E10" i="1"/>
  <c r="E17" i="1"/>
  <c r="E49" i="15" s="1"/>
  <c r="G16" i="1"/>
  <c r="F42" i="15" s="1"/>
  <c r="F16" i="1"/>
  <c r="E16" i="1"/>
  <c r="E42" i="15" s="1"/>
  <c r="G15" i="1"/>
  <c r="F19" i="15" s="1"/>
  <c r="E15" i="1"/>
  <c r="E19" i="15" s="1"/>
  <c r="E14" i="1"/>
  <c r="E13" i="15" s="1"/>
  <c r="F15" i="1" l="1"/>
  <c r="H15" i="1"/>
  <c r="H16" i="1"/>
  <c r="G17" i="1"/>
  <c r="G20" i="1"/>
  <c r="G21" i="1"/>
  <c r="G14" i="1"/>
  <c r="G19" i="1"/>
  <c r="G18" i="1"/>
  <c r="E55" i="1"/>
  <c r="E65" i="1"/>
  <c r="E64" i="1"/>
  <c r="E58" i="1"/>
  <c r="AH57" i="15"/>
  <c r="H57" i="15"/>
  <c r="P29" i="8"/>
  <c r="I16" i="8" s="1"/>
  <c r="G57" i="15"/>
  <c r="F57" i="15"/>
  <c r="AH18" i="15"/>
  <c r="AI18" i="15"/>
  <c r="AB18" i="15"/>
  <c r="E80" i="1"/>
  <c r="AA18" i="15"/>
  <c r="AC45" i="15"/>
  <c r="AB45" i="15"/>
  <c r="AD44" i="15"/>
  <c r="AD45" i="15"/>
  <c r="AE45" i="15"/>
  <c r="AF45" i="15"/>
  <c r="AI17" i="15"/>
  <c r="AJ17" i="15"/>
  <c r="F59" i="15" l="1"/>
  <c r="H19" i="1"/>
  <c r="F19" i="1"/>
  <c r="F49" i="15"/>
  <c r="H17" i="1"/>
  <c r="F17" i="1"/>
  <c r="F13" i="15"/>
  <c r="H14" i="1"/>
  <c r="G34" i="1"/>
  <c r="F14" i="1"/>
  <c r="F34" i="1" s="1"/>
  <c r="G42" i="15"/>
  <c r="I16" i="1"/>
  <c r="H42" i="15" s="1"/>
  <c r="F72" i="15"/>
  <c r="H21" i="1"/>
  <c r="F21" i="1"/>
  <c r="G19" i="15"/>
  <c r="I15" i="1"/>
  <c r="H19" i="15" s="1"/>
  <c r="F55" i="15"/>
  <c r="H18" i="1"/>
  <c r="F18" i="1"/>
  <c r="F65" i="15"/>
  <c r="F20" i="1"/>
  <c r="H20" i="1"/>
  <c r="I28" i="8"/>
  <c r="I27" i="8"/>
  <c r="I26" i="8"/>
  <c r="I25" i="8"/>
  <c r="I24" i="8"/>
  <c r="I23" i="8"/>
  <c r="I22" i="8"/>
  <c r="I21" i="8"/>
  <c r="I20" i="8"/>
  <c r="O14" i="8"/>
  <c r="O15" i="8"/>
  <c r="O13" i="8"/>
  <c r="O12" i="8"/>
  <c r="O11" i="8"/>
  <c r="O10" i="8"/>
  <c r="O9" i="8"/>
  <c r="O8" i="8"/>
  <c r="G27" i="8"/>
  <c r="G26" i="8"/>
  <c r="G25" i="8"/>
  <c r="G24" i="8"/>
  <c r="G23" i="8"/>
  <c r="G22" i="8"/>
  <c r="G21" i="8"/>
  <c r="G20" i="8"/>
  <c r="F20" i="8"/>
  <c r="G65" i="15" l="1"/>
  <c r="I20" i="1"/>
  <c r="H65" i="15" s="1"/>
  <c r="G72" i="15"/>
  <c r="I21" i="1"/>
  <c r="H72" i="15" s="1"/>
  <c r="G13" i="15"/>
  <c r="I14" i="1"/>
  <c r="H34" i="1"/>
  <c r="G55" i="15"/>
  <c r="I18" i="1"/>
  <c r="H55" i="15" s="1"/>
  <c r="G59" i="15"/>
  <c r="I19" i="1"/>
  <c r="H59" i="15" s="1"/>
  <c r="G49" i="15"/>
  <c r="I17" i="1"/>
  <c r="H49" i="15" s="1"/>
  <c r="O16" i="8"/>
  <c r="H13" i="15" l="1"/>
  <c r="I34" i="1"/>
  <c r="M184" i="12"/>
  <c r="M188" i="12" s="1"/>
  <c r="N184" i="12"/>
  <c r="N188" i="12"/>
  <c r="L188" i="12"/>
  <c r="K188" i="12"/>
  <c r="J188" i="12"/>
  <c r="I188" i="12"/>
  <c r="H188" i="12"/>
  <c r="G188" i="12"/>
  <c r="H184" i="12"/>
  <c r="E74" i="1" l="1"/>
  <c r="E76" i="1"/>
  <c r="F150" i="1" l="1"/>
  <c r="F147" i="1"/>
  <c r="F154" i="1" s="1"/>
  <c r="H152" i="1"/>
  <c r="I152" i="1" s="1"/>
  <c r="G152" i="1"/>
  <c r="F152" i="1" s="1"/>
  <c r="F149" i="1"/>
  <c r="H79" i="1"/>
  <c r="F79" i="1"/>
  <c r="E77" i="1"/>
  <c r="G77" i="1" s="1"/>
  <c r="F58" i="1"/>
  <c r="H58" i="1" s="1"/>
  <c r="I58" i="1" s="1"/>
  <c r="E49" i="1"/>
  <c r="E53" i="1"/>
  <c r="F52" i="1"/>
  <c r="G52" i="1"/>
  <c r="H52" i="1"/>
  <c r="I52" i="1"/>
  <c r="E52" i="1"/>
  <c r="H77" i="1" l="1"/>
  <c r="I77" i="1" s="1"/>
  <c r="F77" i="1"/>
  <c r="E50" i="1"/>
  <c r="F49" i="1"/>
  <c r="I23" i="1"/>
  <c r="H23" i="1"/>
  <c r="G23" i="1"/>
  <c r="F23" i="1"/>
  <c r="G49" i="1" l="1"/>
  <c r="F50" i="1"/>
  <c r="D15" i="8"/>
  <c r="D14" i="8"/>
  <c r="D13" i="8"/>
  <c r="D12" i="8"/>
  <c r="D11" i="8"/>
  <c r="D10" i="8"/>
  <c r="D9" i="8"/>
  <c r="D8" i="8"/>
  <c r="H49" i="1" l="1"/>
  <c r="G50" i="1"/>
  <c r="AB47" i="15"/>
  <c r="AF47" i="15"/>
  <c r="AE47" i="15"/>
  <c r="AD47" i="15"/>
  <c r="AC47" i="15"/>
  <c r="AA47" i="15"/>
  <c r="N47" i="15"/>
  <c r="M47" i="15"/>
  <c r="L47" i="15"/>
  <c r="K47" i="15"/>
  <c r="J47" i="15"/>
  <c r="I47" i="15"/>
  <c r="I48" i="15"/>
  <c r="I42" i="15"/>
  <c r="I49" i="1" l="1"/>
  <c r="H50" i="1"/>
  <c r="Q24" i="15"/>
  <c r="H24" i="15"/>
  <c r="G24" i="15"/>
  <c r="F24" i="15"/>
  <c r="E24" i="15"/>
  <c r="K24" i="15"/>
  <c r="AI80" i="15" l="1"/>
  <c r="AJ80" i="15" s="1"/>
  <c r="AK80" i="15" s="1"/>
  <c r="AL80" i="15" s="1"/>
  <c r="AI81" i="15"/>
  <c r="AJ81" i="15" s="1"/>
  <c r="AK81" i="15" s="1"/>
  <c r="AL81" i="15" s="1"/>
  <c r="AJ82" i="15"/>
  <c r="AK82" i="15" s="1"/>
  <c r="AL82" i="15" s="1"/>
  <c r="AI78" i="15"/>
  <c r="AJ78" i="15" s="1"/>
  <c r="AK78" i="15" s="1"/>
  <c r="AL78" i="15" s="1"/>
  <c r="AI75" i="15"/>
  <c r="AJ75" i="15" s="1"/>
  <c r="AK75" i="15" s="1"/>
  <c r="AL75" i="15" s="1"/>
  <c r="AI74" i="15"/>
  <c r="AJ74" i="15" s="1"/>
  <c r="AK74" i="15" s="1"/>
  <c r="AL74" i="15" s="1"/>
  <c r="AI68" i="15"/>
  <c r="AJ68" i="15"/>
  <c r="AK68" i="15"/>
  <c r="AL68" i="15" s="1"/>
  <c r="AI62" i="15"/>
  <c r="AJ62" i="15"/>
  <c r="AK62" i="15" s="1"/>
  <c r="AL62" i="15" s="1"/>
  <c r="AI63" i="15"/>
  <c r="AJ63" i="15"/>
  <c r="AK63" i="15"/>
  <c r="AL63" i="15" s="1"/>
  <c r="AI61" i="15"/>
  <c r="AJ61" i="15" s="1"/>
  <c r="AK61" i="15" s="1"/>
  <c r="AL61" i="15" s="1"/>
  <c r="AJ57" i="15"/>
  <c r="AK57" i="15"/>
  <c r="AL57" i="15"/>
  <c r="AI57" i="15"/>
  <c r="AI53" i="15"/>
  <c r="AJ53" i="15" s="1"/>
  <c r="AK53" i="15" s="1"/>
  <c r="AL53" i="15" s="1"/>
  <c r="AK52" i="15"/>
  <c r="AL52" i="15" s="1"/>
  <c r="AJ52" i="15"/>
  <c r="AI52" i="15"/>
  <c r="AI48" i="15"/>
  <c r="AJ48" i="15" s="1"/>
  <c r="AK48" i="15" s="1"/>
  <c r="AL48" i="15" s="1"/>
  <c r="AI29" i="15"/>
  <c r="AJ29" i="15" s="1"/>
  <c r="AK29" i="15" s="1"/>
  <c r="AL29" i="15" s="1"/>
  <c r="AI30" i="15"/>
  <c r="AJ30" i="15" s="1"/>
  <c r="AK30" i="15" s="1"/>
  <c r="AL30" i="15" s="1"/>
  <c r="AI32" i="15"/>
  <c r="AJ32" i="15" s="1"/>
  <c r="AK32" i="15" s="1"/>
  <c r="AL32" i="15" s="1"/>
  <c r="AI24" i="15"/>
  <c r="AJ24" i="15" s="1"/>
  <c r="AK24" i="15" s="1"/>
  <c r="AL24" i="15" s="1"/>
  <c r="AI25" i="15"/>
  <c r="AJ25" i="15"/>
  <c r="AK25" i="15"/>
  <c r="AL25" i="15" s="1"/>
  <c r="AJ23" i="15"/>
  <c r="AK23" i="15" s="1"/>
  <c r="AL23" i="15" s="1"/>
  <c r="AJ18" i="15"/>
  <c r="AK18" i="15" s="1"/>
  <c r="AL18" i="15" s="1"/>
  <c r="AK17" i="15"/>
  <c r="AL17" i="15" s="1"/>
  <c r="AA23" i="15"/>
  <c r="J23" i="15"/>
  <c r="I23" i="15"/>
  <c r="W21" i="15"/>
  <c r="I109" i="9" l="1"/>
  <c r="F107" i="9"/>
  <c r="G107" i="9"/>
  <c r="H107" i="9"/>
  <c r="I107" i="9" s="1"/>
  <c r="F108" i="9"/>
  <c r="G108" i="9"/>
  <c r="H108" i="9"/>
  <c r="I108" i="9"/>
  <c r="F109" i="9"/>
  <c r="G109" i="9"/>
  <c r="H109" i="9"/>
  <c r="I106" i="9"/>
  <c r="H106" i="9"/>
  <c r="G106" i="9"/>
  <c r="F106" i="9"/>
  <c r="I102" i="9"/>
  <c r="G102" i="9"/>
  <c r="H102" i="9"/>
  <c r="F102" i="9"/>
  <c r="G81" i="9"/>
  <c r="I81" i="9"/>
  <c r="F77" i="9"/>
  <c r="G77" i="9"/>
  <c r="H77" i="9" s="1"/>
  <c r="I77" i="9" s="1"/>
  <c r="F78" i="9"/>
  <c r="G78" i="9"/>
  <c r="H78" i="9" s="1"/>
  <c r="I78" i="9" s="1"/>
  <c r="F79" i="9"/>
  <c r="G79" i="9"/>
  <c r="H79" i="9" s="1"/>
  <c r="I79" i="9" s="1"/>
  <c r="F80" i="9"/>
  <c r="G80" i="9"/>
  <c r="H80" i="9" s="1"/>
  <c r="I80" i="9" s="1"/>
  <c r="F81" i="9"/>
  <c r="H81" i="9"/>
  <c r="I76" i="9"/>
  <c r="H76" i="9"/>
  <c r="G76" i="9"/>
  <c r="F76" i="9"/>
  <c r="I17" i="9"/>
  <c r="F17" i="9"/>
  <c r="F12" i="9"/>
  <c r="G12" i="9"/>
  <c r="H12" i="9"/>
  <c r="I12" i="9" s="1"/>
  <c r="F13" i="9"/>
  <c r="G13" i="9"/>
  <c r="H13" i="9"/>
  <c r="I13" i="9" s="1"/>
  <c r="F14" i="9"/>
  <c r="G14" i="9"/>
  <c r="H14" i="9"/>
  <c r="I14" i="9" s="1"/>
  <c r="F15" i="9"/>
  <c r="G15" i="9"/>
  <c r="H15" i="9"/>
  <c r="I15" i="9" s="1"/>
  <c r="F16" i="9"/>
  <c r="G16" i="9"/>
  <c r="H16" i="9"/>
  <c r="I16" i="9" s="1"/>
  <c r="G17" i="9"/>
  <c r="H17" i="9"/>
  <c r="I11" i="9"/>
  <c r="H11" i="9"/>
  <c r="G11" i="9"/>
  <c r="F11" i="9"/>
  <c r="E147" i="1"/>
  <c r="E127" i="1"/>
  <c r="E124" i="1"/>
  <c r="G124" i="1" s="1"/>
  <c r="H124" i="1" s="1"/>
  <c r="I124" i="1" s="1"/>
  <c r="E125" i="1"/>
  <c r="G125" i="1"/>
  <c r="H125" i="1" s="1"/>
  <c r="I125" i="1" s="1"/>
  <c r="E126" i="1"/>
  <c r="G126" i="1" s="1"/>
  <c r="H126" i="1" s="1"/>
  <c r="I126" i="1" s="1"/>
  <c r="G127" i="1"/>
  <c r="H127" i="1" s="1"/>
  <c r="I127" i="1" s="1"/>
  <c r="E128" i="1"/>
  <c r="G128" i="1"/>
  <c r="H128" i="1" s="1"/>
  <c r="I128" i="1" s="1"/>
  <c r="E129" i="1"/>
  <c r="G129" i="1" s="1"/>
  <c r="H129" i="1" s="1"/>
  <c r="I129" i="1" s="1"/>
  <c r="E130" i="1"/>
  <c r="G130" i="1" s="1"/>
  <c r="H130" i="1" s="1"/>
  <c r="I130" i="1" s="1"/>
  <c r="E131" i="1"/>
  <c r="G131" i="1" s="1"/>
  <c r="H131" i="1" s="1"/>
  <c r="I131" i="1" s="1"/>
  <c r="E132" i="1"/>
  <c r="G132" i="1" s="1"/>
  <c r="H132" i="1" s="1"/>
  <c r="I132" i="1" s="1"/>
  <c r="E133" i="1"/>
  <c r="G133" i="1" s="1"/>
  <c r="H133" i="1" s="1"/>
  <c r="I133" i="1" s="1"/>
  <c r="E134" i="1"/>
  <c r="G134" i="1" s="1"/>
  <c r="H134" i="1" s="1"/>
  <c r="I134" i="1" s="1"/>
  <c r="E135" i="1"/>
  <c r="G135" i="1" s="1"/>
  <c r="H135" i="1" s="1"/>
  <c r="I135" i="1" s="1"/>
  <c r="E136" i="1"/>
  <c r="G136" i="1"/>
  <c r="H136" i="1" s="1"/>
  <c r="I136" i="1" s="1"/>
  <c r="E137" i="1"/>
  <c r="G137" i="1" s="1"/>
  <c r="H137" i="1" s="1"/>
  <c r="I137" i="1" s="1"/>
  <c r="E123" i="1"/>
  <c r="AG16" i="8"/>
  <c r="N179" i="12"/>
  <c r="M179" i="12"/>
  <c r="N173" i="12"/>
  <c r="M173" i="12"/>
  <c r="N168" i="12"/>
  <c r="M168" i="12"/>
  <c r="N163" i="12"/>
  <c r="M163" i="12"/>
  <c r="N158" i="12"/>
  <c r="M158" i="12"/>
  <c r="N152" i="12"/>
  <c r="M152" i="12"/>
  <c r="N147" i="12"/>
  <c r="M147" i="12"/>
  <c r="N142" i="12"/>
  <c r="M142" i="12"/>
  <c r="N137" i="12"/>
  <c r="M137" i="12"/>
  <c r="N132" i="12"/>
  <c r="M132" i="12"/>
  <c r="N127" i="12"/>
  <c r="M127" i="12"/>
  <c r="N122" i="12"/>
  <c r="M122" i="12"/>
  <c r="N117" i="12"/>
  <c r="M117" i="12"/>
  <c r="N112" i="12"/>
  <c r="M112" i="12"/>
  <c r="N107" i="12"/>
  <c r="M107" i="12"/>
  <c r="N102" i="12"/>
  <c r="M102" i="12"/>
  <c r="N97" i="12"/>
  <c r="M97" i="12"/>
  <c r="N92" i="12"/>
  <c r="M92" i="12"/>
  <c r="N87" i="12"/>
  <c r="M87" i="12"/>
  <c r="N82" i="12"/>
  <c r="M82" i="12"/>
  <c r="N77" i="12"/>
  <c r="M77" i="12"/>
  <c r="N72" i="12"/>
  <c r="M72" i="12"/>
  <c r="N67" i="12"/>
  <c r="M67" i="12"/>
  <c r="N62" i="12"/>
  <c r="M62" i="12"/>
  <c r="N57" i="12"/>
  <c r="M57" i="12"/>
  <c r="N52" i="12"/>
  <c r="M52" i="12"/>
  <c r="N47" i="12"/>
  <c r="M47" i="12"/>
  <c r="N42" i="12"/>
  <c r="M42" i="12"/>
  <c r="N32" i="12"/>
  <c r="M32" i="12"/>
  <c r="N27" i="12"/>
  <c r="M27" i="12"/>
  <c r="N22" i="12"/>
  <c r="M22" i="12"/>
  <c r="N17" i="12"/>
  <c r="M17" i="12"/>
  <c r="N12" i="12"/>
  <c r="M12" i="12"/>
  <c r="H179" i="12"/>
  <c r="G179" i="12"/>
  <c r="H173" i="12"/>
  <c r="G173" i="12"/>
  <c r="H168" i="12"/>
  <c r="G168" i="12"/>
  <c r="H163" i="12"/>
  <c r="G163" i="12"/>
  <c r="H158" i="12"/>
  <c r="H178" i="12" s="1"/>
  <c r="G158" i="12"/>
  <c r="G178" i="12" s="1"/>
  <c r="H152" i="12"/>
  <c r="G152" i="12"/>
  <c r="H147" i="12"/>
  <c r="G147" i="12"/>
  <c r="H142" i="12"/>
  <c r="G142" i="12"/>
  <c r="H137" i="12"/>
  <c r="G137" i="12"/>
  <c r="H132" i="12"/>
  <c r="G132" i="12"/>
  <c r="H127" i="12"/>
  <c r="G127" i="12"/>
  <c r="H122" i="12"/>
  <c r="G122" i="12"/>
  <c r="H117" i="12"/>
  <c r="G117" i="12"/>
  <c r="H112" i="12"/>
  <c r="G112" i="12"/>
  <c r="H107" i="12"/>
  <c r="G107" i="12"/>
  <c r="H102" i="12"/>
  <c r="G102" i="12"/>
  <c r="H97" i="12"/>
  <c r="G97" i="12"/>
  <c r="H92" i="12"/>
  <c r="G92" i="12"/>
  <c r="H87" i="12"/>
  <c r="G87" i="12"/>
  <c r="H82" i="12"/>
  <c r="G82" i="12"/>
  <c r="H77" i="12"/>
  <c r="G77" i="12"/>
  <c r="H72" i="12"/>
  <c r="G72" i="12"/>
  <c r="H67" i="12"/>
  <c r="G67" i="12"/>
  <c r="H62" i="12"/>
  <c r="G62" i="12"/>
  <c r="H57" i="12"/>
  <c r="G57" i="12"/>
  <c r="H52" i="12"/>
  <c r="G52" i="12"/>
  <c r="H47" i="12"/>
  <c r="G47" i="12"/>
  <c r="H42" i="12"/>
  <c r="G42" i="12"/>
  <c r="H32" i="12"/>
  <c r="G32" i="12"/>
  <c r="H27" i="12"/>
  <c r="G27" i="12"/>
  <c r="H22" i="12"/>
  <c r="G22" i="12"/>
  <c r="H17" i="12"/>
  <c r="G17" i="12"/>
  <c r="G12" i="12"/>
  <c r="H12" i="12"/>
  <c r="N7" i="12"/>
  <c r="N157" i="12" s="1"/>
  <c r="M7" i="12"/>
  <c r="M157" i="12" s="1"/>
  <c r="H7" i="12"/>
  <c r="H157" i="12" s="1"/>
  <c r="G7" i="12"/>
  <c r="G157" i="12" s="1"/>
  <c r="AI84" i="15" l="1"/>
  <c r="Q29" i="8"/>
  <c r="G123" i="1"/>
  <c r="H123" i="1" s="1"/>
  <c r="I123" i="1" s="1"/>
  <c r="N178" i="12"/>
  <c r="N189" i="12" s="1"/>
  <c r="M178" i="12"/>
  <c r="T16" i="8"/>
  <c r="U16" i="8"/>
  <c r="V16" i="8"/>
  <c r="W16" i="8"/>
  <c r="X16" i="8"/>
  <c r="Y16" i="8"/>
  <c r="Z16" i="8"/>
  <c r="AA16" i="8"/>
  <c r="AB16" i="8"/>
  <c r="AC16" i="8"/>
  <c r="AD16" i="8"/>
  <c r="AE16" i="8"/>
  <c r="D146" i="1" l="1"/>
  <c r="E146" i="1" s="1"/>
  <c r="D138" i="1"/>
  <c r="E138" i="1" s="1"/>
  <c r="G138" i="1" s="1"/>
  <c r="H138" i="1" s="1"/>
  <c r="I138" i="1" s="1"/>
  <c r="D121" i="1"/>
  <c r="D115" i="1"/>
  <c r="D116" i="1"/>
  <c r="D112" i="1"/>
  <c r="D117" i="1"/>
  <c r="C119" i="1"/>
  <c r="D105" i="1"/>
  <c r="D119" i="1" l="1"/>
  <c r="E105" i="1"/>
  <c r="G146" i="1"/>
  <c r="H146" i="1" s="1"/>
  <c r="I146" i="1" s="1"/>
  <c r="E149" i="1"/>
  <c r="D149" i="1"/>
  <c r="D34" i="1" l="1"/>
  <c r="AF6" i="8" l="1"/>
  <c r="AF84" i="15" l="1"/>
  <c r="AE84" i="15"/>
  <c r="AD84" i="15"/>
  <c r="AC84" i="15"/>
  <c r="AB84" i="15"/>
  <c r="I84" i="15"/>
  <c r="AF83" i="15"/>
  <c r="AE83" i="15"/>
  <c r="AD83" i="15"/>
  <c r="AC83" i="15"/>
  <c r="AB83" i="15"/>
  <c r="AA83" i="15"/>
  <c r="N83" i="15"/>
  <c r="M83" i="15"/>
  <c r="L83" i="15"/>
  <c r="K83" i="15"/>
  <c r="J83" i="15"/>
  <c r="I83" i="15"/>
  <c r="AF82" i="15"/>
  <c r="AD82" i="15"/>
  <c r="AC82" i="15"/>
  <c r="AB82" i="15"/>
  <c r="AA82" i="15"/>
  <c r="K82" i="15"/>
  <c r="J82" i="15"/>
  <c r="I82" i="15"/>
  <c r="AF81" i="15"/>
  <c r="AE81" i="15"/>
  <c r="AD81" i="15"/>
  <c r="AC81" i="15"/>
  <c r="AB81" i="15"/>
  <c r="AA81" i="15"/>
  <c r="N81" i="15"/>
  <c r="M81" i="15"/>
  <c r="L81" i="15"/>
  <c r="K81" i="15"/>
  <c r="J81" i="15"/>
  <c r="I81" i="15"/>
  <c r="AF80" i="15"/>
  <c r="AE80" i="15"/>
  <c r="AD80" i="15"/>
  <c r="AC80" i="15"/>
  <c r="AB80" i="15"/>
  <c r="AA80" i="15"/>
  <c r="AF79" i="15"/>
  <c r="AE79" i="15"/>
  <c r="AD79" i="15"/>
  <c r="AC79" i="15"/>
  <c r="AB79" i="15"/>
  <c r="AA79" i="15"/>
  <c r="AF78" i="15"/>
  <c r="AE78" i="15"/>
  <c r="AD78" i="15"/>
  <c r="AC78" i="15"/>
  <c r="AB78" i="15"/>
  <c r="AA78" i="15"/>
  <c r="N78" i="15"/>
  <c r="M78" i="15"/>
  <c r="L78" i="15"/>
  <c r="K78" i="15"/>
  <c r="J78" i="15"/>
  <c r="I78" i="15"/>
  <c r="AF76" i="15"/>
  <c r="AE76" i="15"/>
  <c r="AD76" i="15"/>
  <c r="AC76" i="15"/>
  <c r="AB76" i="15"/>
  <c r="AA76" i="15"/>
  <c r="AF75" i="15"/>
  <c r="AE75" i="15"/>
  <c r="AD75" i="15"/>
  <c r="AC75" i="15"/>
  <c r="AB75" i="15"/>
  <c r="AA75" i="15"/>
  <c r="N75" i="15"/>
  <c r="M75" i="15"/>
  <c r="L75" i="15"/>
  <c r="K75" i="15"/>
  <c r="J75" i="15"/>
  <c r="I75" i="15"/>
  <c r="AB74" i="15"/>
  <c r="AA74" i="15"/>
  <c r="J74" i="15"/>
  <c r="I74" i="15"/>
  <c r="E74" i="15"/>
  <c r="F74" i="15" s="1"/>
  <c r="AF72" i="15"/>
  <c r="AE72" i="15"/>
  <c r="AD72" i="15"/>
  <c r="AC72" i="15"/>
  <c r="AB72" i="15"/>
  <c r="AA72" i="15"/>
  <c r="T72" i="15"/>
  <c r="S72" i="15"/>
  <c r="R72" i="15"/>
  <c r="Q72" i="15"/>
  <c r="P72" i="15"/>
  <c r="N72" i="15"/>
  <c r="M72" i="15"/>
  <c r="L72" i="15"/>
  <c r="K72" i="15"/>
  <c r="J72" i="15"/>
  <c r="I72" i="15"/>
  <c r="AB69" i="15"/>
  <c r="AC69" i="15" s="1"/>
  <c r="AD69" i="15" s="1"/>
  <c r="AE69" i="15" s="1"/>
  <c r="AF69" i="15" s="1"/>
  <c r="J69" i="15"/>
  <c r="I69" i="15"/>
  <c r="AB68" i="15"/>
  <c r="AA68" i="15"/>
  <c r="W68" i="15"/>
  <c r="J68" i="15"/>
  <c r="I68" i="15"/>
  <c r="AC67" i="15"/>
  <c r="AB67" i="15"/>
  <c r="AA67" i="15"/>
  <c r="N67" i="15"/>
  <c r="M67" i="15"/>
  <c r="L67" i="15"/>
  <c r="K67" i="15"/>
  <c r="J67" i="15"/>
  <c r="I67" i="15"/>
  <c r="AF65" i="15"/>
  <c r="AE65" i="15"/>
  <c r="AD65" i="15"/>
  <c r="AC65" i="15"/>
  <c r="AB65" i="15"/>
  <c r="AA65" i="15"/>
  <c r="Z65" i="15"/>
  <c r="Y65" i="15"/>
  <c r="X65" i="15"/>
  <c r="AI65" i="15"/>
  <c r="T65" i="15"/>
  <c r="S65" i="15"/>
  <c r="R65" i="15"/>
  <c r="Q65" i="15"/>
  <c r="P65" i="15"/>
  <c r="N65" i="15"/>
  <c r="M65" i="15"/>
  <c r="L65" i="15"/>
  <c r="K65" i="15"/>
  <c r="J65" i="15"/>
  <c r="I65" i="15"/>
  <c r="AB63" i="15"/>
  <c r="AA63" i="15"/>
  <c r="W63" i="15"/>
  <c r="J63" i="15"/>
  <c r="I63" i="15"/>
  <c r="E63" i="15"/>
  <c r="K63" i="15" s="1"/>
  <c r="AB62" i="15"/>
  <c r="AA62" i="15"/>
  <c r="W62" i="15"/>
  <c r="J62" i="15"/>
  <c r="I62" i="15"/>
  <c r="E62" i="15"/>
  <c r="K62" i="15" s="1"/>
  <c r="AB61" i="15"/>
  <c r="AA61" i="15"/>
  <c r="W61" i="15"/>
  <c r="AC61" i="15" s="1"/>
  <c r="J61" i="15"/>
  <c r="I61" i="15"/>
  <c r="E61" i="15"/>
  <c r="K61" i="15" s="1"/>
  <c r="AF59" i="15"/>
  <c r="AE59" i="15"/>
  <c r="AD59" i="15"/>
  <c r="AC59" i="15"/>
  <c r="AB59" i="15"/>
  <c r="AA59" i="15"/>
  <c r="AK59" i="15"/>
  <c r="X59" i="15"/>
  <c r="W59" i="15"/>
  <c r="V59" i="15"/>
  <c r="AG59" i="15"/>
  <c r="T59" i="15"/>
  <c r="S59" i="15"/>
  <c r="R59" i="15"/>
  <c r="Q59" i="15"/>
  <c r="P59" i="15"/>
  <c r="N59" i="15"/>
  <c r="M59" i="15"/>
  <c r="L59" i="15"/>
  <c r="K59" i="15"/>
  <c r="J59" i="15"/>
  <c r="I59" i="15"/>
  <c r="AB57" i="15"/>
  <c r="AA57" i="15"/>
  <c r="Y57" i="15"/>
  <c r="Z57" i="15" s="1"/>
  <c r="W57" i="15"/>
  <c r="AC57" i="15" s="1"/>
  <c r="J57" i="15"/>
  <c r="I57" i="15"/>
  <c r="AF55" i="15"/>
  <c r="AE55" i="15"/>
  <c r="AD55" i="15"/>
  <c r="AC55" i="15"/>
  <c r="AB55" i="15"/>
  <c r="AA55" i="15"/>
  <c r="Z55" i="15"/>
  <c r="Y55" i="15"/>
  <c r="AK55" i="15" s="1"/>
  <c r="X55" i="15"/>
  <c r="AG55" i="15"/>
  <c r="T55" i="15"/>
  <c r="S55" i="15"/>
  <c r="R55" i="15"/>
  <c r="Q55" i="15"/>
  <c r="P55" i="15"/>
  <c r="O55" i="15"/>
  <c r="N55" i="15"/>
  <c r="M55" i="15"/>
  <c r="L55" i="15"/>
  <c r="K55" i="15"/>
  <c r="J55" i="15"/>
  <c r="I55" i="15"/>
  <c r="AF53" i="15"/>
  <c r="AE53" i="15"/>
  <c r="AD53" i="15"/>
  <c r="AC53" i="15"/>
  <c r="AB53" i="15"/>
  <c r="AA53" i="15"/>
  <c r="M53" i="15"/>
  <c r="L53" i="15"/>
  <c r="K53" i="15"/>
  <c r="J53" i="15"/>
  <c r="I53" i="15"/>
  <c r="AC52" i="15"/>
  <c r="AB52" i="15"/>
  <c r="AA52" i="15"/>
  <c r="X52" i="15"/>
  <c r="Y52" i="15" s="1"/>
  <c r="Z52" i="15" s="1"/>
  <c r="K52" i="15"/>
  <c r="J52" i="15"/>
  <c r="I52" i="15"/>
  <c r="F52" i="15"/>
  <c r="L52" i="15" s="1"/>
  <c r="AF49" i="15"/>
  <c r="AE49" i="15"/>
  <c r="AD49" i="15"/>
  <c r="AC49" i="15"/>
  <c r="AB49" i="15"/>
  <c r="AA49" i="15"/>
  <c r="AJ49" i="15"/>
  <c r="T49" i="15"/>
  <c r="S49" i="15"/>
  <c r="R49" i="15"/>
  <c r="Q49" i="15"/>
  <c r="P49" i="15"/>
  <c r="N49" i="15"/>
  <c r="M49" i="15"/>
  <c r="L49" i="15"/>
  <c r="K49" i="15"/>
  <c r="J49" i="15"/>
  <c r="I49" i="15"/>
  <c r="AF48" i="15"/>
  <c r="AE48" i="15"/>
  <c r="AD48" i="15"/>
  <c r="AC48" i="15"/>
  <c r="AB48" i="15"/>
  <c r="AA48" i="15"/>
  <c r="N48" i="15"/>
  <c r="M48" i="15"/>
  <c r="L48" i="15"/>
  <c r="K48" i="15"/>
  <c r="J48" i="15"/>
  <c r="AF46" i="15"/>
  <c r="AE46" i="15"/>
  <c r="AD46" i="15"/>
  <c r="AC46" i="15"/>
  <c r="AB46" i="15"/>
  <c r="AA46" i="15"/>
  <c r="AA45" i="15"/>
  <c r="AF44" i="15"/>
  <c r="AE44" i="15"/>
  <c r="AC44" i="15"/>
  <c r="AB44" i="15"/>
  <c r="AA44" i="15"/>
  <c r="AF42" i="15"/>
  <c r="AE42" i="15"/>
  <c r="AD42" i="15"/>
  <c r="AC42" i="15"/>
  <c r="AB42" i="15"/>
  <c r="AA42" i="15"/>
  <c r="AL42" i="15"/>
  <c r="AH42" i="15"/>
  <c r="T42" i="15"/>
  <c r="S42" i="15"/>
  <c r="R42" i="15"/>
  <c r="Q42" i="15"/>
  <c r="P42" i="15"/>
  <c r="N42" i="15"/>
  <c r="M42" i="15"/>
  <c r="L42" i="15"/>
  <c r="K42" i="15"/>
  <c r="J42" i="15"/>
  <c r="AF32" i="15"/>
  <c r="AE32" i="15"/>
  <c r="AD32" i="15"/>
  <c r="AC32" i="15"/>
  <c r="AB32" i="15"/>
  <c r="AA32" i="15"/>
  <c r="N32" i="15"/>
  <c r="M32" i="15"/>
  <c r="L32" i="15"/>
  <c r="K32" i="15"/>
  <c r="J32" i="15"/>
  <c r="I32" i="15"/>
  <c r="AF31" i="15"/>
  <c r="AE31" i="15"/>
  <c r="AD31" i="15"/>
  <c r="AC31" i="15"/>
  <c r="AB31" i="15"/>
  <c r="AA31" i="15"/>
  <c r="AC30" i="15"/>
  <c r="AB30" i="15"/>
  <c r="AA30" i="15"/>
  <c r="X30" i="15"/>
  <c r="AD30" i="15" s="1"/>
  <c r="T26" i="15"/>
  <c r="K30" i="15"/>
  <c r="J30" i="15"/>
  <c r="I30" i="15"/>
  <c r="I26" i="15" s="1"/>
  <c r="AF28" i="15"/>
  <c r="AE28" i="15"/>
  <c r="AD28" i="15"/>
  <c r="AC28" i="15"/>
  <c r="AB28" i="15"/>
  <c r="AA28" i="15"/>
  <c r="AI26" i="15"/>
  <c r="AH26" i="15"/>
  <c r="W26" i="15"/>
  <c r="V26" i="15"/>
  <c r="U26" i="15"/>
  <c r="AA26" i="15" s="1"/>
  <c r="S26" i="15"/>
  <c r="S19" i="15" s="1"/>
  <c r="R26" i="15"/>
  <c r="R19" i="15" s="1"/>
  <c r="Q26" i="15"/>
  <c r="P26" i="15"/>
  <c r="O26" i="15"/>
  <c r="AJ21" i="15"/>
  <c r="AB25" i="15"/>
  <c r="AA25" i="15"/>
  <c r="J25" i="15"/>
  <c r="I25" i="15"/>
  <c r="K25" i="15"/>
  <c r="AC24" i="15"/>
  <c r="AB24" i="15"/>
  <c r="AA24" i="15"/>
  <c r="J24" i="15"/>
  <c r="J21" i="15" s="1"/>
  <c r="I24" i="15"/>
  <c r="AD23" i="15"/>
  <c r="AB23" i="15"/>
  <c r="K23" i="15"/>
  <c r="L23" i="15"/>
  <c r="AH21" i="15"/>
  <c r="AG21" i="15"/>
  <c r="Z21" i="15"/>
  <c r="Y21" i="15"/>
  <c r="X21" i="15"/>
  <c r="V21" i="15"/>
  <c r="U21" i="15"/>
  <c r="T21" i="15"/>
  <c r="T19" i="15" s="1"/>
  <c r="S21" i="15"/>
  <c r="R21" i="15"/>
  <c r="Q21" i="15"/>
  <c r="P21" i="15"/>
  <c r="O21" i="15"/>
  <c r="AF19" i="15"/>
  <c r="AE19" i="15"/>
  <c r="AD19" i="15"/>
  <c r="AC19" i="15"/>
  <c r="AB19" i="15"/>
  <c r="AA19" i="15"/>
  <c r="Z19" i="15"/>
  <c r="Y19" i="15"/>
  <c r="X19" i="15"/>
  <c r="W19" i="15"/>
  <c r="N19" i="15"/>
  <c r="M19" i="15"/>
  <c r="L19" i="15"/>
  <c r="K19" i="15"/>
  <c r="J19" i="15"/>
  <c r="I19" i="15"/>
  <c r="V18" i="15"/>
  <c r="W18" i="15" s="1"/>
  <c r="AB17" i="15"/>
  <c r="AA17" i="15"/>
  <c r="AF13" i="15"/>
  <c r="AE13" i="15"/>
  <c r="AD13" i="15"/>
  <c r="AC13" i="15"/>
  <c r="AB13" i="15"/>
  <c r="AA13" i="15"/>
  <c r="V13" i="15"/>
  <c r="N13" i="15"/>
  <c r="M13" i="15"/>
  <c r="L13" i="15"/>
  <c r="K13" i="15"/>
  <c r="J13" i="15"/>
  <c r="I13" i="15"/>
  <c r="AF8" i="15"/>
  <c r="AL8" i="15" s="1"/>
  <c r="AE8" i="15"/>
  <c r="AK8" i="15" s="1"/>
  <c r="AD8" i="15"/>
  <c r="AJ8" i="15" s="1"/>
  <c r="AC8" i="15"/>
  <c r="AI8" i="15" s="1"/>
  <c r="AB8" i="15"/>
  <c r="AH8" i="15" s="1"/>
  <c r="AA8" i="15"/>
  <c r="AG8" i="15" s="1"/>
  <c r="N8" i="15"/>
  <c r="L8" i="15"/>
  <c r="K26" i="15" l="1"/>
  <c r="X26" i="15"/>
  <c r="L30" i="15"/>
  <c r="L26" i="15" s="1"/>
  <c r="F26" i="15"/>
  <c r="I21" i="15"/>
  <c r="AD21" i="15"/>
  <c r="K69" i="15"/>
  <c r="AB26" i="15"/>
  <c r="P19" i="15"/>
  <c r="AJ59" i="15"/>
  <c r="AH72" i="15"/>
  <c r="AL72" i="15"/>
  <c r="Q19" i="15"/>
  <c r="AG13" i="15"/>
  <c r="AK13" i="15"/>
  <c r="AG19" i="15"/>
  <c r="AK19" i="15"/>
  <c r="AJ65" i="15"/>
  <c r="AH55" i="15"/>
  <c r="AL55" i="15"/>
  <c r="AB21" i="15"/>
  <c r="AC74" i="15"/>
  <c r="AC63" i="15"/>
  <c r="AD52" i="15"/>
  <c r="AC26" i="15"/>
  <c r="L57" i="15"/>
  <c r="N57" i="15"/>
  <c r="AF52" i="15"/>
  <c r="AK26" i="15"/>
  <c r="K57" i="15"/>
  <c r="X61" i="15"/>
  <c r="Y61" i="15" s="1"/>
  <c r="Z61" i="15" s="1"/>
  <c r="AC62" i="15"/>
  <c r="AC68" i="15"/>
  <c r="X68" i="15"/>
  <c r="Y68" i="15" s="1"/>
  <c r="Z68" i="15" s="1"/>
  <c r="AJ26" i="15"/>
  <c r="AJ42" i="15"/>
  <c r="AG49" i="15"/>
  <c r="AK49" i="15"/>
  <c r="AI55" i="15"/>
  <c r="AH59" i="15"/>
  <c r="AL59" i="15"/>
  <c r="AI72" i="15"/>
  <c r="X62" i="15"/>
  <c r="Y62" i="15" s="1"/>
  <c r="Z62" i="15" s="1"/>
  <c r="X63" i="15"/>
  <c r="Y63" i="15" s="1"/>
  <c r="Z63" i="15" s="1"/>
  <c r="C76" i="15"/>
  <c r="AJ19" i="15"/>
  <c r="AA21" i="15"/>
  <c r="M23" i="15"/>
  <c r="AC25" i="15"/>
  <c r="J26" i="15"/>
  <c r="AG42" i="15"/>
  <c r="AK42" i="15"/>
  <c r="AH49" i="15"/>
  <c r="AL49" i="15"/>
  <c r="AH65" i="15"/>
  <c r="AL65" i="15"/>
  <c r="K68" i="15"/>
  <c r="AJ72" i="15"/>
  <c r="AH19" i="15"/>
  <c r="AL19" i="15"/>
  <c r="AI42" i="15"/>
  <c r="AI49" i="15"/>
  <c r="AJ55" i="15"/>
  <c r="AI59" i="15"/>
  <c r="AG65" i="15"/>
  <c r="AK65" i="15"/>
  <c r="AG72" i="15"/>
  <c r="AK72" i="15"/>
  <c r="X76" i="15"/>
  <c r="AI19" i="15"/>
  <c r="AC18" i="15"/>
  <c r="X18" i="15"/>
  <c r="Y18" i="15" s="1"/>
  <c r="Z18" i="15" s="1"/>
  <c r="AD17" i="15"/>
  <c r="J8" i="15"/>
  <c r="AJ13" i="15"/>
  <c r="AC17" i="15"/>
  <c r="AI21" i="15"/>
  <c r="AC21" i="15" s="1"/>
  <c r="K21" i="15"/>
  <c r="AD57" i="15"/>
  <c r="L69" i="15"/>
  <c r="V76" i="15"/>
  <c r="Z76" i="15"/>
  <c r="AH13" i="15"/>
  <c r="AL13" i="15"/>
  <c r="AC23" i="15"/>
  <c r="AD25" i="15"/>
  <c r="AD61" i="15"/>
  <c r="AD62" i="15"/>
  <c r="AD67" i="15"/>
  <c r="M82" i="15"/>
  <c r="N82" i="15"/>
  <c r="AG76" i="15"/>
  <c r="Y76" i="15"/>
  <c r="L74" i="15"/>
  <c r="G74" i="15"/>
  <c r="I8" i="15"/>
  <c r="I76" i="15" s="1"/>
  <c r="M8" i="15"/>
  <c r="AI13" i="15"/>
  <c r="AD24" i="15"/>
  <c r="AL26" i="15"/>
  <c r="L68" i="15"/>
  <c r="AD74" i="15"/>
  <c r="G26" i="15"/>
  <c r="Y30" i="15"/>
  <c r="G52" i="15"/>
  <c r="F61" i="15"/>
  <c r="F62" i="15"/>
  <c r="F63" i="15"/>
  <c r="K74" i="15"/>
  <c r="L82" i="15"/>
  <c r="AE52" i="15"/>
  <c r="AE82" i="15"/>
  <c r="AD26" i="15" l="1"/>
  <c r="N23" i="15"/>
  <c r="AJ76" i="15"/>
  <c r="AK76" i="15"/>
  <c r="AK93" i="15" s="1"/>
  <c r="AJ93" i="15"/>
  <c r="AL76" i="15"/>
  <c r="AI76" i="15"/>
  <c r="AI93" i="15" s="1"/>
  <c r="AI94" i="15" s="1"/>
  <c r="AH76" i="15"/>
  <c r="AH93" i="15" s="1"/>
  <c r="AH94" i="15" s="1"/>
  <c r="AG93" i="15"/>
  <c r="M57" i="15"/>
  <c r="AD68" i="15"/>
  <c r="AL93" i="15"/>
  <c r="AD63" i="15"/>
  <c r="L62" i="15"/>
  <c r="G62" i="15"/>
  <c r="Y26" i="15"/>
  <c r="AE26" i="15" s="1"/>
  <c r="Z30" i="15"/>
  <c r="AE30" i="15"/>
  <c r="AF68" i="15"/>
  <c r="AE68" i="15"/>
  <c r="M74" i="15"/>
  <c r="H74" i="15"/>
  <c r="N74" i="15" s="1"/>
  <c r="AF63" i="15"/>
  <c r="AE63" i="15"/>
  <c r="AF61" i="15"/>
  <c r="AE61" i="15"/>
  <c r="AF57" i="15"/>
  <c r="AE57" i="15"/>
  <c r="H26" i="15"/>
  <c r="M30" i="15"/>
  <c r="M26" i="15" s="1"/>
  <c r="M68" i="15"/>
  <c r="N68" i="15"/>
  <c r="L25" i="15"/>
  <c r="AE24" i="15"/>
  <c r="AF24" i="15"/>
  <c r="AF67" i="15"/>
  <c r="AE67" i="15"/>
  <c r="AF62" i="15"/>
  <c r="AE62" i="15"/>
  <c r="AE25" i="15"/>
  <c r="AF25" i="15"/>
  <c r="AD18" i="15"/>
  <c r="L61" i="15"/>
  <c r="G61" i="15"/>
  <c r="AF74" i="15"/>
  <c r="AE74" i="15"/>
  <c r="M69" i="15"/>
  <c r="L24" i="15"/>
  <c r="L21" i="15" s="1"/>
  <c r="AF17" i="15"/>
  <c r="AE17" i="15"/>
  <c r="AE18" i="15"/>
  <c r="AF18" i="15"/>
  <c r="L63" i="15"/>
  <c r="G63" i="15"/>
  <c r="M52" i="15"/>
  <c r="H52" i="15"/>
  <c r="AE23" i="15"/>
  <c r="AK21" i="15"/>
  <c r="AE21" i="15" s="1"/>
  <c r="H147" i="1"/>
  <c r="Q107" i="9"/>
  <c r="P108" i="9"/>
  <c r="Q77" i="9"/>
  <c r="O81" i="9"/>
  <c r="T81" i="9" s="1"/>
  <c r="O17" i="9"/>
  <c r="O13" i="9"/>
  <c r="O14" i="9"/>
  <c r="O16" i="9"/>
  <c r="P11" i="9"/>
  <c r="AX9" i="8"/>
  <c r="AX8" i="8"/>
  <c r="AX15" i="8"/>
  <c r="AX14" i="8"/>
  <c r="AX13" i="8"/>
  <c r="AX12" i="8"/>
  <c r="AX11" i="8"/>
  <c r="AX10" i="8"/>
  <c r="AT16" i="8"/>
  <c r="AU16" i="8"/>
  <c r="AV16" i="8"/>
  <c r="AJ8" i="8"/>
  <c r="AJ10" i="8"/>
  <c r="I189" i="12"/>
  <c r="J189" i="12"/>
  <c r="K189" i="12"/>
  <c r="L189" i="12"/>
  <c r="M189" i="12"/>
  <c r="G189" i="12"/>
  <c r="D150" i="1"/>
  <c r="G149" i="1"/>
  <c r="G96" i="1"/>
  <c r="G95" i="1"/>
  <c r="F95" i="1" s="1"/>
  <c r="E95" i="1" s="1"/>
  <c r="G94" i="1"/>
  <c r="F94" i="1" s="1"/>
  <c r="G93" i="1"/>
  <c r="F93" i="1" s="1"/>
  <c r="G91" i="1"/>
  <c r="G89" i="1"/>
  <c r="F89" i="1" s="1"/>
  <c r="H89" i="1" s="1"/>
  <c r="I89" i="1" s="1"/>
  <c r="G88" i="1"/>
  <c r="G86" i="1"/>
  <c r="G82" i="1"/>
  <c r="F82" i="1" s="1"/>
  <c r="E121" i="1"/>
  <c r="H20" i="8"/>
  <c r="H28" i="8"/>
  <c r="D97" i="1"/>
  <c r="F87" i="1"/>
  <c r="E87" i="1" s="1"/>
  <c r="F90" i="1"/>
  <c r="E90" i="1" s="1"/>
  <c r="F92" i="1"/>
  <c r="E92" i="1" s="1"/>
  <c r="D16" i="8"/>
  <c r="E8" i="1" s="1"/>
  <c r="R29" i="8"/>
  <c r="G147" i="1"/>
  <c r="I147" i="1"/>
  <c r="AL84" i="15" s="1"/>
  <c r="I87" i="1"/>
  <c r="H87" i="1"/>
  <c r="H90" i="1"/>
  <c r="I90" i="1" s="1"/>
  <c r="H92" i="1"/>
  <c r="I92" i="1" s="1"/>
  <c r="F104" i="1"/>
  <c r="H104" i="1"/>
  <c r="I104" i="1"/>
  <c r="E117" i="1"/>
  <c r="E118" i="1"/>
  <c r="E107" i="1"/>
  <c r="E150" i="1" s="1"/>
  <c r="E110" i="1"/>
  <c r="E112" i="1"/>
  <c r="E113" i="1"/>
  <c r="E114" i="1"/>
  <c r="I79" i="1"/>
  <c r="I50" i="1" s="1"/>
  <c r="F53" i="1"/>
  <c r="G53" i="1" s="1"/>
  <c r="H53" i="1" s="1"/>
  <c r="I53" i="1" s="1"/>
  <c r="D43" i="1"/>
  <c r="D40" i="1"/>
  <c r="H65" i="1"/>
  <c r="I65" i="1" s="1"/>
  <c r="E60" i="1"/>
  <c r="F64" i="1"/>
  <c r="G64" i="1" s="1"/>
  <c r="H64" i="1" s="1"/>
  <c r="I64" i="1" s="1"/>
  <c r="F65" i="1"/>
  <c r="E66" i="1"/>
  <c r="F66" i="1" s="1"/>
  <c r="G66" i="1" s="1"/>
  <c r="H66" i="1" s="1"/>
  <c r="I66" i="1" s="1"/>
  <c r="E67" i="1"/>
  <c r="F67" i="1" s="1"/>
  <c r="G67" i="1" s="1"/>
  <c r="H67" i="1" s="1"/>
  <c r="I67" i="1" s="1"/>
  <c r="E68" i="1"/>
  <c r="F68" i="1" s="1"/>
  <c r="G68" i="1" s="1"/>
  <c r="H68" i="1" s="1"/>
  <c r="I68" i="1" s="1"/>
  <c r="E69" i="1"/>
  <c r="F69" i="1" s="1"/>
  <c r="G69" i="1" s="1"/>
  <c r="H69" i="1" s="1"/>
  <c r="I69" i="1" s="1"/>
  <c r="E70" i="1"/>
  <c r="F70" i="1" s="1"/>
  <c r="G70" i="1" s="1"/>
  <c r="H70" i="1" s="1"/>
  <c r="I70" i="1" s="1"/>
  <c r="E71" i="1"/>
  <c r="F71" i="1" s="1"/>
  <c r="G71" i="1" s="1"/>
  <c r="H71" i="1" s="1"/>
  <c r="I71" i="1" s="1"/>
  <c r="F74" i="1"/>
  <c r="G74" i="1" s="1"/>
  <c r="H74" i="1" s="1"/>
  <c r="I74" i="1" s="1"/>
  <c r="D55" i="1"/>
  <c r="D48" i="1"/>
  <c r="G48" i="1"/>
  <c r="E48" i="1"/>
  <c r="F43" i="1"/>
  <c r="G40" i="1"/>
  <c r="I40" i="1"/>
  <c r="E43" i="1"/>
  <c r="F40" i="1"/>
  <c r="E37" i="1"/>
  <c r="E34" i="1"/>
  <c r="G16" i="8"/>
  <c r="I8" i="1" s="1"/>
  <c r="H84" i="15" s="1"/>
  <c r="N84" i="15" s="1"/>
  <c r="C20" i="8"/>
  <c r="C16" i="8"/>
  <c r="D8" i="1" s="1"/>
  <c r="P8" i="8"/>
  <c r="E20" i="8"/>
  <c r="D20" i="8"/>
  <c r="L11" i="9"/>
  <c r="R11" i="9" s="1"/>
  <c r="O11" i="9"/>
  <c r="N11" i="9"/>
  <c r="M11" i="9"/>
  <c r="BC16" i="8"/>
  <c r="BB16" i="8"/>
  <c r="BA16" i="8"/>
  <c r="AZ16" i="8"/>
  <c r="AY16" i="8"/>
  <c r="AX16" i="8"/>
  <c r="AM16" i="8"/>
  <c r="AJ16" i="8" s="1"/>
  <c r="D72" i="1"/>
  <c r="D37" i="1"/>
  <c r="E16" i="8"/>
  <c r="G8" i="1" s="1"/>
  <c r="F84" i="15" s="1"/>
  <c r="F16" i="8"/>
  <c r="H8" i="1" s="1"/>
  <c r="G84" i="15" s="1"/>
  <c r="L28" i="8"/>
  <c r="M27" i="8" s="1"/>
  <c r="M26" i="8"/>
  <c r="O26" i="8" s="1"/>
  <c r="M24" i="8"/>
  <c r="M23" i="8"/>
  <c r="M22" i="8"/>
  <c r="M20" i="8"/>
  <c r="O20" i="8" s="1"/>
  <c r="O22" i="8"/>
  <c r="O23" i="8"/>
  <c r="O24" i="8"/>
  <c r="M21" i="8"/>
  <c r="N23" i="8"/>
  <c r="N22" i="8"/>
  <c r="N24" i="8"/>
  <c r="N26" i="8"/>
  <c r="O21" i="8"/>
  <c r="N21" i="8"/>
  <c r="B28" i="8"/>
  <c r="C27" i="8"/>
  <c r="C26" i="8"/>
  <c r="C25" i="8"/>
  <c r="C24" i="8"/>
  <c r="C23" i="8"/>
  <c r="C22" i="8"/>
  <c r="C21" i="8"/>
  <c r="AJ9" i="8"/>
  <c r="AJ11" i="8"/>
  <c r="AJ12" i="8"/>
  <c r="AJ13" i="8"/>
  <c r="AJ14" i="8"/>
  <c r="AJ15" i="8"/>
  <c r="D22" i="8"/>
  <c r="F22" i="8"/>
  <c r="E23" i="8"/>
  <c r="F23" i="8"/>
  <c r="E24" i="8"/>
  <c r="F24" i="8"/>
  <c r="E26" i="8"/>
  <c r="F26" i="8"/>
  <c r="D27" i="8"/>
  <c r="F27" i="8"/>
  <c r="F21" i="8"/>
  <c r="E21" i="8"/>
  <c r="D25" i="8"/>
  <c r="F25" i="8"/>
  <c r="D21" i="8"/>
  <c r="E27" i="8"/>
  <c r="E25" i="8"/>
  <c r="E22" i="8"/>
  <c r="D23" i="8"/>
  <c r="D24" i="8"/>
  <c r="D26" i="8"/>
  <c r="C28" i="8"/>
  <c r="P14" i="8"/>
  <c r="Q14" i="8" s="1"/>
  <c r="R14" i="8" s="1"/>
  <c r="S14" i="8" s="1"/>
  <c r="P11" i="8"/>
  <c r="Q11" i="8" s="1"/>
  <c r="R11" i="8" s="1"/>
  <c r="S11" i="8" s="1"/>
  <c r="P13" i="8"/>
  <c r="Q13" i="8" s="1"/>
  <c r="R13" i="8" s="1"/>
  <c r="S13" i="8" s="1"/>
  <c r="P12" i="8"/>
  <c r="Q12" i="8" s="1"/>
  <c r="R12" i="8" s="1"/>
  <c r="S12" i="8" s="1"/>
  <c r="P10" i="8"/>
  <c r="Q10" i="8" s="1"/>
  <c r="R10" i="8" s="1"/>
  <c r="S10" i="8" s="1"/>
  <c r="P9" i="8"/>
  <c r="Q9" i="8" s="1"/>
  <c r="R9" i="8" s="1"/>
  <c r="P15" i="8"/>
  <c r="Q15" i="8" s="1"/>
  <c r="R15" i="8" s="1"/>
  <c r="S15" i="8" s="1"/>
  <c r="E28" i="8"/>
  <c r="D28" i="8"/>
  <c r="O109" i="9"/>
  <c r="T109" i="9" s="1"/>
  <c r="N109" i="9"/>
  <c r="M109" i="9"/>
  <c r="S109" i="9" s="1"/>
  <c r="L109" i="9"/>
  <c r="K109" i="9"/>
  <c r="Q108" i="9"/>
  <c r="V108" i="9" s="1"/>
  <c r="O108" i="9"/>
  <c r="N108" i="9"/>
  <c r="S108" i="9" s="1"/>
  <c r="M108" i="9"/>
  <c r="L108" i="9"/>
  <c r="K108" i="9"/>
  <c r="O107" i="9"/>
  <c r="N107" i="9"/>
  <c r="M107" i="9"/>
  <c r="L107" i="9"/>
  <c r="K107" i="9"/>
  <c r="O106" i="9"/>
  <c r="O110" i="9" s="1"/>
  <c r="N106" i="9"/>
  <c r="N110" i="9" s="1"/>
  <c r="M106" i="9"/>
  <c r="L106" i="9"/>
  <c r="L110" i="9" s="1"/>
  <c r="K106" i="9"/>
  <c r="K110" i="9"/>
  <c r="Q102" i="9"/>
  <c r="V102" i="9" s="1"/>
  <c r="P102" i="9"/>
  <c r="U102" i="9" s="1"/>
  <c r="O102" i="9"/>
  <c r="N102" i="9"/>
  <c r="M102" i="9"/>
  <c r="L102" i="9"/>
  <c r="R102" i="9" s="1"/>
  <c r="K102" i="9"/>
  <c r="P101" i="9"/>
  <c r="O101" i="9"/>
  <c r="N101" i="9"/>
  <c r="M101" i="9"/>
  <c r="L101" i="9"/>
  <c r="K101" i="9"/>
  <c r="P100" i="9"/>
  <c r="O100" i="9"/>
  <c r="N100" i="9"/>
  <c r="M100" i="9"/>
  <c r="L100" i="9"/>
  <c r="K100" i="9"/>
  <c r="P99" i="9"/>
  <c r="O99" i="9"/>
  <c r="N99" i="9"/>
  <c r="M99" i="9"/>
  <c r="L99" i="9"/>
  <c r="K99" i="9"/>
  <c r="P98" i="9"/>
  <c r="O98" i="9"/>
  <c r="N98" i="9"/>
  <c r="M98" i="9"/>
  <c r="L98" i="9"/>
  <c r="K98" i="9"/>
  <c r="P95" i="9"/>
  <c r="V95" i="9"/>
  <c r="O95" i="9"/>
  <c r="U95" i="9" s="1"/>
  <c r="T95" i="9"/>
  <c r="N95" i="9"/>
  <c r="M95" i="9"/>
  <c r="S95" i="9" s="1"/>
  <c r="R95" i="9"/>
  <c r="L95" i="9"/>
  <c r="K95" i="9"/>
  <c r="P94" i="9"/>
  <c r="V94" i="9" s="1"/>
  <c r="U94" i="9"/>
  <c r="O94" i="9"/>
  <c r="N94" i="9"/>
  <c r="T94" i="9" s="1"/>
  <c r="S94" i="9"/>
  <c r="M94" i="9"/>
  <c r="L94" i="9"/>
  <c r="R94" i="9" s="1"/>
  <c r="K94" i="9"/>
  <c r="P93" i="9"/>
  <c r="V93" i="9"/>
  <c r="O93" i="9"/>
  <c r="U93" i="9" s="1"/>
  <c r="T93" i="9"/>
  <c r="N93" i="9"/>
  <c r="M93" i="9"/>
  <c r="S93" i="9" s="1"/>
  <c r="R93" i="9"/>
  <c r="L93" i="9"/>
  <c r="K93" i="9"/>
  <c r="P92" i="9"/>
  <c r="V92" i="9"/>
  <c r="O92" i="9"/>
  <c r="N92" i="9"/>
  <c r="T92" i="9" s="1"/>
  <c r="S92" i="9"/>
  <c r="M92" i="9"/>
  <c r="L92" i="9"/>
  <c r="R92" i="9" s="1"/>
  <c r="K92" i="9"/>
  <c r="P91" i="9"/>
  <c r="V91" i="9"/>
  <c r="O91" i="9"/>
  <c r="U91" i="9" s="1"/>
  <c r="T91" i="9"/>
  <c r="N91" i="9"/>
  <c r="M91" i="9"/>
  <c r="S91" i="9" s="1"/>
  <c r="R91" i="9"/>
  <c r="L91" i="9"/>
  <c r="K91" i="9"/>
  <c r="P90" i="9"/>
  <c r="U90" i="9"/>
  <c r="O90" i="9"/>
  <c r="N90" i="9"/>
  <c r="T90" i="9" s="1"/>
  <c r="S90" i="9"/>
  <c r="M90" i="9"/>
  <c r="L90" i="9"/>
  <c r="R90" i="9" s="1"/>
  <c r="K90" i="9"/>
  <c r="P89" i="9"/>
  <c r="V89" i="9"/>
  <c r="O89" i="9"/>
  <c r="T89" i="9"/>
  <c r="N89" i="9"/>
  <c r="M89" i="9"/>
  <c r="S89" i="9" s="1"/>
  <c r="R89" i="9"/>
  <c r="L89" i="9"/>
  <c r="K89" i="9"/>
  <c r="P88" i="9"/>
  <c r="V88" i="9" s="1"/>
  <c r="O88" i="9"/>
  <c r="N88" i="9"/>
  <c r="S88" i="9" s="1"/>
  <c r="M88" i="9"/>
  <c r="L88" i="9"/>
  <c r="R88" i="9" s="1"/>
  <c r="K88" i="9"/>
  <c r="P87" i="9"/>
  <c r="V87" i="9"/>
  <c r="O87" i="9"/>
  <c r="T87" i="9" s="1"/>
  <c r="N87" i="9"/>
  <c r="M87" i="9"/>
  <c r="R87" i="9" s="1"/>
  <c r="L87" i="9"/>
  <c r="K87" i="9"/>
  <c r="P86" i="9"/>
  <c r="V86" i="9" s="1"/>
  <c r="O86" i="9"/>
  <c r="N86" i="9"/>
  <c r="T86" i="9" s="1"/>
  <c r="M86" i="9"/>
  <c r="L86" i="9"/>
  <c r="R86" i="9" s="1"/>
  <c r="K86" i="9"/>
  <c r="P85" i="9"/>
  <c r="U85" i="9" s="1"/>
  <c r="V85" i="9"/>
  <c r="O85" i="9"/>
  <c r="T85" i="9" s="1"/>
  <c r="N85" i="9"/>
  <c r="M85" i="9"/>
  <c r="R85" i="9" s="1"/>
  <c r="L85" i="9"/>
  <c r="K85" i="9"/>
  <c r="V84" i="9"/>
  <c r="P84" i="9"/>
  <c r="O84" i="9"/>
  <c r="U84" i="9" s="1"/>
  <c r="T84" i="9"/>
  <c r="N84" i="9"/>
  <c r="M84" i="9"/>
  <c r="S84" i="9" s="1"/>
  <c r="R84" i="9"/>
  <c r="L84" i="9"/>
  <c r="K84" i="9"/>
  <c r="P83" i="9"/>
  <c r="V83" i="9"/>
  <c r="O83" i="9"/>
  <c r="N83" i="9"/>
  <c r="T83" i="9" s="1"/>
  <c r="S83" i="9"/>
  <c r="M83" i="9"/>
  <c r="L83" i="9"/>
  <c r="R83" i="9" s="1"/>
  <c r="K83" i="9"/>
  <c r="P82" i="9"/>
  <c r="O82" i="9"/>
  <c r="U82" i="9" s="1"/>
  <c r="T82" i="9"/>
  <c r="N82" i="9"/>
  <c r="M82" i="9"/>
  <c r="S82" i="9" s="1"/>
  <c r="R82" i="9"/>
  <c r="L82" i="9"/>
  <c r="K82" i="9"/>
  <c r="N81" i="9"/>
  <c r="M81" i="9"/>
  <c r="S81" i="9" s="1"/>
  <c r="L81" i="9"/>
  <c r="K81" i="9"/>
  <c r="V80" i="9"/>
  <c r="U80" i="9"/>
  <c r="T80" i="9"/>
  <c r="S80" i="9"/>
  <c r="R80" i="9"/>
  <c r="V79" i="9"/>
  <c r="U79" i="9"/>
  <c r="T79" i="9"/>
  <c r="S79" i="9"/>
  <c r="R79" i="9"/>
  <c r="V78" i="9"/>
  <c r="U78" i="9"/>
  <c r="T78" i="9"/>
  <c r="S78" i="9"/>
  <c r="R78" i="9"/>
  <c r="O77" i="9"/>
  <c r="N77" i="9"/>
  <c r="T77" i="9" s="1"/>
  <c r="M77" i="9"/>
  <c r="L77" i="9"/>
  <c r="K77" i="9"/>
  <c r="N76" i="9"/>
  <c r="M76" i="9"/>
  <c r="L76" i="9"/>
  <c r="K76" i="9"/>
  <c r="K96" i="9" s="1"/>
  <c r="K103" i="9" s="1"/>
  <c r="K111" i="9" s="1"/>
  <c r="V19" i="9"/>
  <c r="U19" i="9"/>
  <c r="T19" i="9"/>
  <c r="S19" i="9"/>
  <c r="R19" i="9"/>
  <c r="V18" i="9"/>
  <c r="U18" i="9"/>
  <c r="T18" i="9"/>
  <c r="S18" i="9"/>
  <c r="R18" i="9"/>
  <c r="N17" i="9"/>
  <c r="N20" i="9" s="1"/>
  <c r="M17" i="9"/>
  <c r="L17" i="9"/>
  <c r="C17" i="9"/>
  <c r="K17" i="9"/>
  <c r="V16" i="9"/>
  <c r="N16" i="9"/>
  <c r="S16" i="9" s="1"/>
  <c r="M16" i="9"/>
  <c r="R16" i="9" s="1"/>
  <c r="K16" i="9"/>
  <c r="V15" i="9"/>
  <c r="N15" i="9"/>
  <c r="M15" i="9"/>
  <c r="R15" i="9"/>
  <c r="K15" i="9"/>
  <c r="V14" i="9"/>
  <c r="N14" i="9"/>
  <c r="S14" i="9" s="1"/>
  <c r="M14" i="9"/>
  <c r="R14" i="9"/>
  <c r="K14" i="9"/>
  <c r="V13" i="9"/>
  <c r="N13" i="9"/>
  <c r="S13" i="9" s="1"/>
  <c r="M13" i="9"/>
  <c r="R13" i="9"/>
  <c r="K13" i="9"/>
  <c r="V12" i="9"/>
  <c r="O12" i="9"/>
  <c r="U12" i="9"/>
  <c r="N12" i="9"/>
  <c r="M12" i="9"/>
  <c r="R12" i="9" s="1"/>
  <c r="K12" i="9"/>
  <c r="K11" i="9"/>
  <c r="K20" i="9"/>
  <c r="M20" i="9"/>
  <c r="T108" i="9"/>
  <c r="T106" i="9"/>
  <c r="T102" i="9"/>
  <c r="S77" i="9"/>
  <c r="R108" i="9"/>
  <c r="V82" i="9"/>
  <c r="U89" i="9"/>
  <c r="V90" i="9"/>
  <c r="S102" i="9"/>
  <c r="S106" i="9"/>
  <c r="U92" i="9"/>
  <c r="U83" i="9"/>
  <c r="U87" i="9"/>
  <c r="M110" i="9"/>
  <c r="H189" i="12"/>
  <c r="AG6" i="8"/>
  <c r="E115" i="1"/>
  <c r="F91" i="1"/>
  <c r="E91" i="1" s="1"/>
  <c r="F96" i="1"/>
  <c r="E96" i="1" s="1"/>
  <c r="F86" i="1"/>
  <c r="E86" i="1" s="1"/>
  <c r="F88" i="1"/>
  <c r="E88" i="1" s="1"/>
  <c r="M84" i="15" l="1"/>
  <c r="G76" i="15"/>
  <c r="E84" i="15"/>
  <c r="K84" i="15" s="1"/>
  <c r="E22" i="1"/>
  <c r="I82" i="1"/>
  <c r="E82" i="1"/>
  <c r="H82" i="1" s="1"/>
  <c r="L84" i="15"/>
  <c r="L76" i="15" s="1"/>
  <c r="F76" i="15"/>
  <c r="D22" i="1"/>
  <c r="D84" i="15"/>
  <c r="G121" i="1"/>
  <c r="AJ84" i="15"/>
  <c r="AJ94" i="15" s="1"/>
  <c r="AL94" i="15"/>
  <c r="S29" i="8"/>
  <c r="S21" i="8" s="1"/>
  <c r="L9" i="8" s="1"/>
  <c r="AK84" i="15"/>
  <c r="AK94" i="15" s="1"/>
  <c r="M76" i="15"/>
  <c r="K8" i="15"/>
  <c r="K76" i="15" s="1"/>
  <c r="AW16" i="8"/>
  <c r="P16" i="8"/>
  <c r="Q8" i="8"/>
  <c r="R8" i="8" s="1"/>
  <c r="S8" i="8" s="1"/>
  <c r="O27" i="8"/>
  <c r="N27" i="8"/>
  <c r="N20" i="8"/>
  <c r="M25" i="8"/>
  <c r="F8" i="1"/>
  <c r="F60" i="1"/>
  <c r="E72" i="1"/>
  <c r="H73" i="1"/>
  <c r="I73" i="1"/>
  <c r="G73" i="1"/>
  <c r="U108" i="9"/>
  <c r="T107" i="9"/>
  <c r="Q106" i="9"/>
  <c r="P106" i="9"/>
  <c r="U106" i="9" s="1"/>
  <c r="R109" i="9"/>
  <c r="R110" i="9"/>
  <c r="D41" i="1" s="1"/>
  <c r="S110" i="9"/>
  <c r="E41" i="1" s="1"/>
  <c r="R106" i="9"/>
  <c r="R107" i="9"/>
  <c r="O76" i="9"/>
  <c r="S17" i="9"/>
  <c r="T11" i="9"/>
  <c r="U16" i="9"/>
  <c r="T16" i="9"/>
  <c r="O15" i="9"/>
  <c r="T15" i="9" s="1"/>
  <c r="T12" i="9"/>
  <c r="S15" i="9"/>
  <c r="T17" i="9"/>
  <c r="S11" i="9"/>
  <c r="T14" i="9"/>
  <c r="U14" i="9"/>
  <c r="U13" i="9"/>
  <c r="T13" i="9"/>
  <c r="Q109" i="9"/>
  <c r="P109" i="9"/>
  <c r="U109" i="9" s="1"/>
  <c r="T110" i="9"/>
  <c r="F41" i="1" s="1"/>
  <c r="S85" i="9"/>
  <c r="S87" i="9"/>
  <c r="T88" i="9"/>
  <c r="S12" i="9"/>
  <c r="P77" i="9"/>
  <c r="U77" i="9" s="1"/>
  <c r="R81" i="9"/>
  <c r="S107" i="9"/>
  <c r="L20" i="9"/>
  <c r="N96" i="9"/>
  <c r="N103" i="9" s="1"/>
  <c r="N111" i="9" s="1"/>
  <c r="R77" i="9"/>
  <c r="S86" i="9"/>
  <c r="U86" i="9"/>
  <c r="U88" i="9"/>
  <c r="P107" i="9"/>
  <c r="U107" i="9" s="1"/>
  <c r="O20" i="9"/>
  <c r="T20" i="9" s="1"/>
  <c r="O96" i="9"/>
  <c r="O103" i="9" s="1"/>
  <c r="P76" i="9"/>
  <c r="Q76" i="9"/>
  <c r="T76" i="9"/>
  <c r="M96" i="9"/>
  <c r="M103" i="9" s="1"/>
  <c r="S76" i="9"/>
  <c r="L103" i="9"/>
  <c r="L111" i="9" s="1"/>
  <c r="R76" i="9"/>
  <c r="S20" i="9"/>
  <c r="R17" i="9"/>
  <c r="R20" i="9"/>
  <c r="D35" i="1" s="1"/>
  <c r="U11" i="9"/>
  <c r="Q11" i="9"/>
  <c r="D31" i="1"/>
  <c r="D27" i="1" s="1"/>
  <c r="S9" i="8"/>
  <c r="G150" i="1"/>
  <c r="E94" i="1"/>
  <c r="H94" i="1"/>
  <c r="I94" i="1" s="1"/>
  <c r="E93" i="1"/>
  <c r="H93" i="1"/>
  <c r="I93" i="1" s="1"/>
  <c r="H88" i="1"/>
  <c r="I88" i="1" s="1"/>
  <c r="G97" i="1"/>
  <c r="G22" i="1"/>
  <c r="E73" i="1"/>
  <c r="N69" i="15"/>
  <c r="N76" i="15" s="1"/>
  <c r="H76" i="15"/>
  <c r="M61" i="15"/>
  <c r="H61" i="15"/>
  <c r="N61" i="15" s="1"/>
  <c r="M25" i="15"/>
  <c r="N25" i="15"/>
  <c r="M62" i="15"/>
  <c r="H62" i="15"/>
  <c r="N62" i="15" s="1"/>
  <c r="M24" i="15"/>
  <c r="M21" i="15" s="1"/>
  <c r="AL21" i="15"/>
  <c r="AF21" i="15" s="1"/>
  <c r="AF23" i="15"/>
  <c r="M63" i="15"/>
  <c r="H63" i="15"/>
  <c r="N63" i="15" s="1"/>
  <c r="N30" i="15"/>
  <c r="N26" i="15" s="1"/>
  <c r="Z26" i="15"/>
  <c r="AF26" i="15" s="1"/>
  <c r="AF30" i="15"/>
  <c r="H43" i="1"/>
  <c r="F97" i="1"/>
  <c r="H37" i="1"/>
  <c r="I37" i="1"/>
  <c r="H80" i="1"/>
  <c r="H121" i="1" s="1"/>
  <c r="G154" i="1"/>
  <c r="E154" i="1"/>
  <c r="H86" i="1"/>
  <c r="I86" i="1" s="1"/>
  <c r="H91" i="1"/>
  <c r="I91" i="1" s="1"/>
  <c r="F37" i="1"/>
  <c r="E40" i="1"/>
  <c r="E31" i="1" s="1"/>
  <c r="E27" i="1" s="1"/>
  <c r="E89" i="1"/>
  <c r="H95" i="1"/>
  <c r="I95" i="1" s="1"/>
  <c r="H96" i="1"/>
  <c r="I96" i="1" s="1"/>
  <c r="F48" i="1"/>
  <c r="G37" i="1"/>
  <c r="H40" i="1"/>
  <c r="G43" i="1"/>
  <c r="E116" i="1"/>
  <c r="E119" i="1" s="1"/>
  <c r="D154" i="1"/>
  <c r="D73" i="1"/>
  <c r="T29" i="8"/>
  <c r="S20" i="8"/>
  <c r="L8" i="8" s="1"/>
  <c r="S27" i="8"/>
  <c r="L15" i="8" s="1"/>
  <c r="S26" i="8"/>
  <c r="L14" i="8" s="1"/>
  <c r="S22" i="8"/>
  <c r="L10" i="8" s="1"/>
  <c r="K16" i="8"/>
  <c r="R26" i="8"/>
  <c r="K14" i="8" s="1"/>
  <c r="R22" i="8"/>
  <c r="K10" i="8" s="1"/>
  <c r="R27" i="8"/>
  <c r="K15" i="8" s="1"/>
  <c r="R23" i="8"/>
  <c r="K11" i="8" s="1"/>
  <c r="R25" i="8"/>
  <c r="K13" i="8" s="1"/>
  <c r="R24" i="8"/>
  <c r="K12" i="8" s="1"/>
  <c r="R20" i="8"/>
  <c r="K8" i="8" s="1"/>
  <c r="R21" i="8"/>
  <c r="K9" i="8" s="1"/>
  <c r="F121" i="1"/>
  <c r="Q27" i="8"/>
  <c r="J15" i="8" s="1"/>
  <c r="Q22" i="8"/>
  <c r="J10" i="8" s="1"/>
  <c r="Q25" i="8"/>
  <c r="J13" i="8" s="1"/>
  <c r="Q20" i="8"/>
  <c r="J8" i="8" s="1"/>
  <c r="J16" i="8"/>
  <c r="Q26" i="8"/>
  <c r="J14" i="8" s="1"/>
  <c r="Q23" i="8"/>
  <c r="J11" i="8" s="1"/>
  <c r="Q24" i="8"/>
  <c r="J12" i="8" s="1"/>
  <c r="Q21" i="8"/>
  <c r="J9" i="8" s="1"/>
  <c r="E76" i="15" l="1"/>
  <c r="S24" i="8"/>
  <c r="L12" i="8" s="1"/>
  <c r="L16" i="8"/>
  <c r="G31" i="1"/>
  <c r="G27" i="1" s="1"/>
  <c r="J84" i="15"/>
  <c r="J76" i="15" s="1"/>
  <c r="D76" i="15"/>
  <c r="S23" i="8"/>
  <c r="L11" i="8" s="1"/>
  <c r="S25" i="8"/>
  <c r="L13" i="8" s="1"/>
  <c r="F55" i="1"/>
  <c r="F22" i="1"/>
  <c r="I43" i="1"/>
  <c r="I31" i="1" s="1"/>
  <c r="I27" i="1" s="1"/>
  <c r="S16" i="8"/>
  <c r="R16" i="8"/>
  <c r="Q16" i="8"/>
  <c r="O25" i="8"/>
  <c r="M28" i="8"/>
  <c r="N25" i="8"/>
  <c r="N28" i="8"/>
  <c r="F119" i="1"/>
  <c r="G60" i="1"/>
  <c r="F72" i="1"/>
  <c r="F73" i="1"/>
  <c r="P110" i="9"/>
  <c r="U110" i="9" s="1"/>
  <c r="G41" i="1" s="1"/>
  <c r="H41" i="1" s="1"/>
  <c r="V106" i="9"/>
  <c r="S96" i="9"/>
  <c r="U15" i="9"/>
  <c r="T103" i="9"/>
  <c r="F38" i="1" s="1"/>
  <c r="G38" i="1" s="1"/>
  <c r="O111" i="9"/>
  <c r="T111" i="9" s="1"/>
  <c r="F32" i="1" s="1"/>
  <c r="F28" i="1" s="1"/>
  <c r="Q81" i="9"/>
  <c r="P81" i="9"/>
  <c r="U81" i="9" s="1"/>
  <c r="S103" i="9"/>
  <c r="E38" i="1" s="1"/>
  <c r="T96" i="9"/>
  <c r="Q17" i="9"/>
  <c r="V17" i="9" s="1"/>
  <c r="P17" i="9"/>
  <c r="V77" i="9"/>
  <c r="V109" i="9"/>
  <c r="Q110" i="9"/>
  <c r="V110" i="9" s="1"/>
  <c r="I41" i="1" s="1"/>
  <c r="V107" i="9"/>
  <c r="U76" i="9"/>
  <c r="V76" i="9"/>
  <c r="R96" i="9"/>
  <c r="R103" i="9"/>
  <c r="D38" i="1" s="1"/>
  <c r="M111" i="9"/>
  <c r="S111" i="9" s="1"/>
  <c r="E32" i="1" s="1"/>
  <c r="E28" i="1" s="1"/>
  <c r="V11" i="9"/>
  <c r="H150" i="1"/>
  <c r="E97" i="1"/>
  <c r="H22" i="1"/>
  <c r="G55" i="1"/>
  <c r="H31" i="1"/>
  <c r="H27" i="1" s="1"/>
  <c r="N24" i="15"/>
  <c r="N21" i="15" s="1"/>
  <c r="P22" i="8"/>
  <c r="I10" i="8" s="1"/>
  <c r="P23" i="8"/>
  <c r="I11" i="8" s="1"/>
  <c r="P21" i="8"/>
  <c r="I9" i="8" s="1"/>
  <c r="P26" i="8"/>
  <c r="I14" i="8" s="1"/>
  <c r="P27" i="8"/>
  <c r="I15" i="8" s="1"/>
  <c r="P25" i="8"/>
  <c r="I13" i="8" s="1"/>
  <c r="P24" i="8"/>
  <c r="I12" i="8" s="1"/>
  <c r="P20" i="8"/>
  <c r="I8" i="8" s="1"/>
  <c r="P28" i="8"/>
  <c r="F31" i="1"/>
  <c r="F27" i="1" s="1"/>
  <c r="H48" i="1"/>
  <c r="I48" i="1"/>
  <c r="I149" i="1"/>
  <c r="H149" i="1"/>
  <c r="I80" i="1"/>
  <c r="H97" i="1"/>
  <c r="M16" i="8"/>
  <c r="T22" i="8"/>
  <c r="M10" i="8" s="1"/>
  <c r="T27" i="8"/>
  <c r="M15" i="8" s="1"/>
  <c r="T23" i="8"/>
  <c r="M11" i="8" s="1"/>
  <c r="T25" i="8"/>
  <c r="M13" i="8" s="1"/>
  <c r="T24" i="8"/>
  <c r="M12" i="8" s="1"/>
  <c r="T20" i="8"/>
  <c r="M8" i="8" s="1"/>
  <c r="T21" i="8"/>
  <c r="M9" i="8" s="1"/>
  <c r="T28" i="8"/>
  <c r="T26" i="8"/>
  <c r="M14" i="8" s="1"/>
  <c r="O28" i="8" l="1"/>
  <c r="R28" i="8"/>
  <c r="Q28" i="8"/>
  <c r="S28" i="8"/>
  <c r="G119" i="1"/>
  <c r="G72" i="1"/>
  <c r="H60" i="1"/>
  <c r="V81" i="9"/>
  <c r="G32" i="1"/>
  <c r="G28" i="1" s="1"/>
  <c r="Q20" i="9"/>
  <c r="Q96" i="9"/>
  <c r="Q103" i="9" s="1"/>
  <c r="U17" i="9"/>
  <c r="P20" i="9"/>
  <c r="U20" i="9" s="1"/>
  <c r="G35" i="1" s="1"/>
  <c r="H35" i="1" s="1"/>
  <c r="P96" i="9"/>
  <c r="U96" i="9" s="1"/>
  <c r="P103" i="9"/>
  <c r="R111" i="9"/>
  <c r="D32" i="1" s="1"/>
  <c r="D28" i="1" s="1"/>
  <c r="I150" i="1"/>
  <c r="H55" i="1"/>
  <c r="H154" i="1"/>
  <c r="I154" i="1"/>
  <c r="I97" i="1"/>
  <c r="I121" i="1"/>
  <c r="I55" i="1" l="1"/>
  <c r="I22" i="1"/>
  <c r="I119" i="1"/>
  <c r="H119" i="1"/>
  <c r="I60" i="1"/>
  <c r="I72" i="1" s="1"/>
  <c r="H72" i="1"/>
  <c r="V96" i="9"/>
  <c r="Q111" i="9"/>
  <c r="V20" i="9"/>
  <c r="I35" i="1" s="1"/>
  <c r="U103" i="9"/>
  <c r="H38" i="1" s="1"/>
  <c r="P111" i="9"/>
  <c r="U111" i="9" s="1"/>
  <c r="H32" i="1" s="1"/>
  <c r="H28" i="1" s="1"/>
  <c r="V103" i="9"/>
  <c r="I38" i="1" s="1"/>
  <c r="V111" i="9" l="1"/>
  <c r="I32" i="1" s="1"/>
  <c r="I28" i="1" s="1"/>
</calcChain>
</file>

<file path=xl/comments1.xml><?xml version="1.0" encoding="utf-8"?>
<comments xmlns="http://schemas.openxmlformats.org/spreadsheetml/2006/main">
  <authors>
    <author>Салдушева Анастасия Валерьевна</author>
    <author>Орлова Юлия Анатольевна</author>
  </authors>
  <commentList>
    <comment ref="E4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2023
 стат</t>
        </r>
      </text>
    </comment>
    <comment ref="E52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2023 стат</t>
        </r>
      </text>
    </comment>
    <comment ref="E53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 кв 2023 аналит
</t>
        </r>
      </text>
    </comment>
    <comment ref="E76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темп 22/21</t>
        </r>
      </text>
    </comment>
    <comment ref="E77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1 кв.23</t>
        </r>
      </text>
    </comment>
    <comment ref="F79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темп 23/22</t>
        </r>
      </text>
    </comment>
    <comment ref="G80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
по ЦЗН разница безработных 2022/2021 в 10 чел</t>
        </r>
      </text>
    </comment>
    <comment ref="C105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спад на всю дельту</t>
        </r>
      </text>
    </comment>
    <comment ref="D105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94% - это темп спада предприятий СМСП 2022 к 2021 (юл+ип) то есть 961 к 1022 СМСП</t>
        </r>
      </text>
    </comment>
    <comment ref="D138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2020*сценарную реал з/п за 2021</t>
        </r>
      </text>
    </comment>
    <comment ref="E146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мрот с 01.01.2022</t>
        </r>
      </text>
    </comment>
  </commentList>
</comments>
</file>

<file path=xl/comments2.xml><?xml version="1.0" encoding="utf-8"?>
<comments xmlns="http://schemas.openxmlformats.org/spreadsheetml/2006/main">
  <authors>
    <author>Салдушева Анастасия Валерьевна</author>
  </authors>
  <commentList>
    <comment ref="Y6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оэз</t>
        </r>
      </text>
    </comment>
  </commentList>
</comments>
</file>

<file path=xl/comments3.xml><?xml version="1.0" encoding="utf-8"?>
<comments xmlns="http://schemas.openxmlformats.org/spreadsheetml/2006/main">
  <authors>
    <author>Салдушева Анастасия Валерьевна</author>
  </authors>
  <commentList>
    <comment ref="G11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* индекс промышленности сценарных по консервативному варианту</t>
        </r>
      </text>
    </comment>
  </commentList>
</comments>
</file>

<file path=xl/comments4.xml><?xml version="1.0" encoding="utf-8"?>
<comments xmlns="http://schemas.openxmlformats.org/spreadsheetml/2006/main">
  <authors>
    <author>Орлова Юлия Анатольевна</author>
    <author>Салдушева Анастасия Валерьевна</author>
  </authors>
  <commentList>
    <comment ref="AP5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транспортировка и хранение + деят-ть в обл информации и связи</t>
        </r>
      </text>
    </comment>
    <comment ref="AL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садоводств, остальные по реестру смсп 2020 фильтр по оквэд и ручной подсчет по населенным пунктам</t>
        </r>
      </text>
    </comment>
    <comment ref="AO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</t>
        </r>
      </text>
    </comment>
    <comment ref="AQ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методом разницы с прошлогодним прогнозом и нынешней суммой по оквэд</t>
        </r>
      </text>
    </comment>
    <comment ref="AX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+муп кос бмо и муп газета</t>
        </r>
      </text>
    </comment>
    <comment ref="AL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 и отальные по реестру смсп за 2020 год</t>
        </r>
      </text>
    </comment>
    <comment ref="AM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лесхоз</t>
        </r>
      </text>
    </comment>
    <comment ref="AN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 +дорожник</t>
        </r>
      </text>
    </comment>
    <comment ref="AO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светофор,фикспрайс
</t>
        </r>
      </text>
    </comment>
    <comment ref="AP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смсп+статуссиб</t>
        </r>
      </text>
    </comment>
    <comment ref="AX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+мау сл море, мау цех и лагерь ++6 адм, кспк,дума,куми,ксп,кф+мбу благ
</t>
        </r>
      </text>
    </comment>
    <comment ref="AO10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 хлеб соль</t>
        </r>
      </text>
    </comment>
    <comment ref="AL12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3 садоводства и остальные по реестру смсп 2020
</t>
        </r>
      </text>
    </comment>
    <comment ref="AJ16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стат</t>
        </r>
      </text>
    </comment>
  </commentList>
</comments>
</file>

<file path=xl/sharedStrings.xml><?xml version="1.0" encoding="utf-8"?>
<sst xmlns="http://schemas.openxmlformats.org/spreadsheetml/2006/main" count="1032" uniqueCount="524">
  <si>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</si>
  <si>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</si>
  <si>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</si>
  <si>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</si>
  <si>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</si>
  <si>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</si>
  <si>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</si>
  <si>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</si>
  <si>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</si>
  <si>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</si>
  <si>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</si>
  <si>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</si>
  <si>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</si>
  <si>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</si>
  <si>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</si>
  <si>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</si>
  <si>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</si>
  <si>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</si>
  <si>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</si>
  <si>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</si>
  <si>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</si>
  <si>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</si>
  <si>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</si>
  <si>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</si>
  <si>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</si>
  <si>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(органы местного самоуправления при необходимости дополняют номенклатуру продукции)</t>
  </si>
  <si>
    <t>Средняя цена за единицу продукции, тыс. рублей</t>
  </si>
  <si>
    <t>А</t>
  </si>
  <si>
    <t>ПРОМЫШЛЕННОЕ ПРОИЗВОДСТВО:</t>
  </si>
  <si>
    <t>тыс. м3</t>
  </si>
  <si>
    <t>т</t>
  </si>
  <si>
    <t>ИТОГО</t>
  </si>
  <si>
    <t>тыс. шт</t>
  </si>
  <si>
    <t>тыс.шт</t>
  </si>
  <si>
    <t>тыс.т</t>
  </si>
  <si>
    <t>зерно</t>
  </si>
  <si>
    <t>картофель</t>
  </si>
  <si>
    <t>овощи</t>
  </si>
  <si>
    <t>мясо</t>
  </si>
  <si>
    <t>молоко</t>
  </si>
  <si>
    <t>яйца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</si>
  <si>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</si>
  <si>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</si>
  <si>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</si>
  <si>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</si>
  <si>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</si>
  <si>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</si>
  <si>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</si>
  <si>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>ГВт.ч
 (млн.  Квт.ч.)</t>
  </si>
  <si>
    <t>1500*</t>
  </si>
  <si>
    <t>90,8*</t>
  </si>
  <si>
    <t>296,3*</t>
  </si>
  <si>
    <t>109,5*</t>
  </si>
  <si>
    <t>315,2*</t>
  </si>
  <si>
    <t>444*</t>
  </si>
  <si>
    <t>х</t>
  </si>
  <si>
    <t>Наименование элементарного вида деятельности,
 товара-представителя</t>
  </si>
  <si>
    <t>*) сопоставимая цена 1994 г. (рублей за единицу продукции)</t>
  </si>
  <si>
    <t xml:space="preserve">***) В данной форме органы местного самоуправления показывают только ту продукцию, которая производится в муниципальном образовании, остальные наименования товаров удаляются. 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</si>
  <si>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</si>
  <si>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</si>
  <si>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</si>
  <si>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</si>
  <si>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</si>
  <si>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 xml:space="preserve">Расчет индексов производства продукции
по элементарному виду деятельности,  исходя из динамики по товарам-представителям
</t>
  </si>
  <si>
    <t>Произведено продукции в натуральном выражении</t>
  </si>
  <si>
    <t>№ п/п</t>
  </si>
  <si>
    <t>Число действующих микропредприятий - всего</t>
  </si>
  <si>
    <t>Уд. вес выручки предприятий малого бизнеса (с учетом микропредприятий) в выручке  в целом по МО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</si>
  <si>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</si>
  <si>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</si>
  <si>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</si>
  <si>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</si>
  <si>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</si>
  <si>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</si>
  <si>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</si>
  <si>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>Наименование проекта</t>
  </si>
  <si>
    <t>Инвестор</t>
  </si>
  <si>
    <t>Объем инвестиций, млн.руб.</t>
  </si>
  <si>
    <t>Выручка от реализации продукции, работ, услуг, млн.руб.</t>
  </si>
  <si>
    <t xml:space="preserve">Выпуск продукции в натуральном выражении
 (в соотв. ед.) 
</t>
  </si>
  <si>
    <t>Количество ежегодно создаваемых новых рабочих мест, ед.</t>
  </si>
  <si>
    <t>Наименование 
городского (сельского) поселения и населенного пункта на территории которого предполагается реализация инвестпроекта</t>
  </si>
  <si>
    <t>и т.д.</t>
  </si>
  <si>
    <t>продукция 
№ 1</t>
  </si>
  <si>
    <t>продукция 
№ 2</t>
  </si>
  <si>
    <t>продукция № 3</t>
  </si>
  <si>
    <t xml:space="preserve">Период реализации проекта </t>
  </si>
  <si>
    <t>Экономи-
ческий эффект (прибыль), млн. руб.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</si>
  <si>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</si>
  <si>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</si>
  <si>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</si>
  <si>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</si>
  <si>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</si>
  <si>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</si>
  <si>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</si>
  <si>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</si>
  <si>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</si>
  <si>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</si>
  <si>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</si>
  <si>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</si>
  <si>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</si>
  <si>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</si>
  <si>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</si>
  <si>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</si>
  <si>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</si>
  <si>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</si>
  <si>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</si>
  <si>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</si>
  <si>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</si>
  <si>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</si>
  <si>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</si>
  <si>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</si>
  <si>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</si>
  <si>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ВСЕГО ПО ПОСЕЛЕНИЮ</t>
  </si>
  <si>
    <t>Потенциал поступлений земельного налога</t>
  </si>
  <si>
    <t>из них по категориям работников: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</si>
  <si>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</si>
  <si>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</si>
  <si>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</si>
  <si>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</si>
  <si>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</si>
  <si>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</si>
  <si>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</si>
  <si>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</si>
  <si>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</si>
  <si>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</si>
  <si>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</si>
  <si>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</si>
  <si>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</si>
  <si>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</si>
  <si>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</si>
  <si>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</si>
  <si>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</si>
  <si>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Прогноз индекса производства</t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</si>
  <si>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</si>
  <si>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</si>
  <si>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</si>
  <si>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</si>
  <si>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</si>
  <si>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</si>
  <si>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</si>
  <si>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</si>
  <si>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</si>
  <si>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</si>
  <si>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</si>
  <si>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</si>
  <si>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</si>
  <si>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</si>
  <si>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</si>
  <si>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</si>
  <si>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</si>
  <si>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</si>
  <si>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</si>
  <si>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</si>
  <si>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</si>
  <si>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</si>
  <si>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</si>
  <si>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</si>
  <si>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</si>
  <si>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</si>
  <si>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Добыча прочих полезных ископаемых</t>
  </si>
  <si>
    <t>Гипс,тыс.т</t>
  </si>
  <si>
    <t xml:space="preserve"> Доломит некальцинированный, тыс.т</t>
  </si>
  <si>
    <t>Пески природные,Тыс. куб.м</t>
  </si>
  <si>
    <t>Гранулы каменные, крошка и порошок,Тыс. куб.м</t>
  </si>
  <si>
    <t>Гравий,Тыс. куб.м</t>
  </si>
  <si>
    <t>Щебень,Тыс. куб.м</t>
  </si>
  <si>
    <t>Камень природный дробленный,Тыс. куб.м</t>
  </si>
  <si>
    <t>Смеси песчано-гравийные,Тыс. куб.м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</si>
  <si>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</si>
  <si>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</si>
  <si>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</si>
  <si>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Мясо крупного рогатого скота (говядина и телятина) парное, остывшее или охлажденное, в том числе для детского питания,т</t>
  </si>
  <si>
    <t>Свинина парная, остывшая или охлажденная, в том числе для детского питания,т</t>
  </si>
  <si>
    <t>Конина и мясо прочих животных семейства лошадиных парные, остывшие или охлажденные, в том числе для детского питания,т</t>
  </si>
  <si>
    <t>Субпродукты пищевые крупного рогатого скота, свиные, бараньи, козьи, лошадей, ослов, мулов, лошаков и прочих животных семейства лошадиных, оленьи и прочих животных семейства оленьих (оленевых) парные, остывшие или охлажденные, в том числе для детского пит,т</t>
  </si>
  <si>
    <t>Мясо крупного рогатого скота (говядина и телятина) замороженное, в том числе для детского питания,т</t>
  </si>
  <si>
    <t>Мясо лошадей (конина, жеребятина) и прочих животных семейства лошадиных замороженное, в том числе для детского питания,т</t>
  </si>
  <si>
    <t>Мясо и субпродукты пищевые прочие парные, остывшие, охлажденные или замороженные,т</t>
  </si>
  <si>
    <t>Жиры крупного рогатого скота, овец, коз и свиней,т</t>
  </si>
  <si>
    <t>Мясо птицы охлажденное, в том числе для детского питания,т</t>
  </si>
  <si>
    <t>Мясо сельскохозяйственной птицы замороженное, в том числе для детского питания,т</t>
  </si>
  <si>
    <t>Субпродукты сельскохозяйственной птицы пищевые, в том числе для детского питания,т</t>
  </si>
  <si>
    <t>Свинина соленая, в рассоле, копченая, сушеная (в том числе сублимационной сушки),т</t>
  </si>
  <si>
    <t>Мясо крупного рогатого скота соленое, в рассоле, копченое, сушеное (в том числе сублимационной сушки),т</t>
  </si>
  <si>
    <t>Мясо и мясные пищевые субпродукты прочие, соленые, в рассоле, копченые, сушеные (в том числе сублимационной сушки) (кроме мяса свиней и крупного рогатого скота); мясо птицы сухое, мука тонкого и грубого помола из мяса и мясных субпродуктов, пригодная для,т</t>
  </si>
  <si>
    <t>Изделия колбасные вареные, в том числе фаршированные,т</t>
  </si>
  <si>
    <t>Изделия колбасные кровяные,т</t>
  </si>
  <si>
    <t>Изделия колбасные копченые,т</t>
  </si>
  <si>
    <t>Изделия колбасные из термически обработанных ингредиентов,т</t>
  </si>
  <si>
    <t>Полуфабрикаты мясные, мясосодержащие, охлажденные, замороженные,т</t>
  </si>
  <si>
    <t>Изделия кулинарные мясные, мясосодержащие и из мяса и субпродуктов птицы охлажденные, замороженные,т</t>
  </si>
  <si>
    <t>Мука тонкого и грубого помола и гранулы из мяса или мясных субпродуктов, не пригодные для употребления в пищу,т</t>
  </si>
  <si>
    <t>Рыба и филе рыбное холодного копчения,т</t>
  </si>
  <si>
    <t>Рыба и филе рыбное горячего копчения,т</t>
  </si>
  <si>
    <t>Продукты готовые из рыбы прочие, не включенные в другие группировки,т</t>
  </si>
  <si>
    <t>Овощи (кроме картофеля) и грибы сушеные,т</t>
  </si>
  <si>
    <t>Овощи (кроме картофеля) и грибы, консервированные без уксуса или уксусной кислоты, прочие (кроме готовых овощных блюд),тыс.банок усл.</t>
  </si>
  <si>
    <t>Овощи (кроме картофеля), фрукты, орехи и прочие съедобные части растений, переработанные или консервированные с уксусом или уксусной кислотой,тыс.банок усл.</t>
  </si>
  <si>
    <t>Масло соевое и его фракции нерафинированные,т</t>
  </si>
  <si>
    <t>Масло подсолнечное и его фракции нерафинированные,т</t>
  </si>
  <si>
    <t>Масло рапсовое и его фракции нерафинированные,т</t>
  </si>
  <si>
    <t>Жмых и прочие твердые остатки растительных жиров или масел,т</t>
  </si>
  <si>
    <t>Масло соевое и его фракции рафинированные, но не подвергнутые химической модификации,т</t>
  </si>
  <si>
    <t>Масло подсолнечное и его фракции рафинированные, но не подвергнутые химической модификации,т</t>
  </si>
  <si>
    <t>Жиры и масла животные и растительные и их фракции гидрогенизированные и переэтерифицированные, но без дальнейшей обработки,т</t>
  </si>
  <si>
    <t>Маргарин,т</t>
  </si>
  <si>
    <t>Спреды растительно-сливочные, растительно-жировые,т</t>
  </si>
  <si>
    <t>Смеси топленые растительно-сливочные, растительно-жировые,т</t>
  </si>
  <si>
    <t>Жиры специального назначения,т</t>
  </si>
  <si>
    <t>Молоко, кроме сырого,т</t>
  </si>
  <si>
    <t>Сливки,т</t>
  </si>
  <si>
    <t>Масло сливочное,т</t>
  </si>
  <si>
    <t>Спреды и смеси топленые сливочно-растительные,т</t>
  </si>
  <si>
    <t>Сыры,т</t>
  </si>
  <si>
    <t>Творог,т</t>
  </si>
  <si>
    <t>Молоко и сливки, сгущенные или с добавками сахара или других подслащивающих веществ, не сухие,тыс.банок усл.</t>
  </si>
  <si>
    <t>Продукты кисломолочные (кроме сметаны),т</t>
  </si>
  <si>
    <t>Сметана,т</t>
  </si>
  <si>
    <t>Сыворотка,т</t>
  </si>
  <si>
    <t>Напитки молочные,т</t>
  </si>
  <si>
    <t>Продукты на основе творога,т</t>
  </si>
  <si>
    <t>Мороженое,т</t>
  </si>
  <si>
    <t>Мука пшеничная и пшенично-ржаная,т</t>
  </si>
  <si>
    <t>Мука из прочих зерновых культур,т</t>
  </si>
  <si>
    <t>Крупа, мука грубого помола и гранулы из зерновых культур, не включенные другие группировки,т</t>
  </si>
  <si>
    <t>Изделия хлебобулочные недлительного хранения,т</t>
  </si>
  <si>
    <t>Изделия мучные кондитерские, торты и пирожные недлительного хранения,т</t>
  </si>
  <si>
    <t>Хлебцы хрустящие, сухари, гренки и аналогичные обжаренные продукты,т</t>
  </si>
  <si>
    <t>Печенье и пряники имбирные и аналогичные изделия; печенье сладкое; вафли и вафельные облатки; торты и пирожные длительного хранения,т</t>
  </si>
  <si>
    <t>Изделия хлебобулочные сухие прочие или хлебобулочные изделия длительного хранения,т</t>
  </si>
  <si>
    <t>Изделия макаронные и аналогичные мучные изделия,т</t>
  </si>
  <si>
    <t>Кетчуп и соусы томатные прочие,тыс.банок усл.</t>
  </si>
  <si>
    <t>Майонезы,т</t>
  </si>
  <si>
    <t>Соусы майонезные,т</t>
  </si>
  <si>
    <t>Горчица готовая,т</t>
  </si>
  <si>
    <t>Соль пищевая,т</t>
  </si>
  <si>
    <t>Продукты пищевые готовые и блюда,т</t>
  </si>
  <si>
    <t>Молоко питьевое для детского питания пастеризованное, стерилизованное и ультрапастеризованное (ультравысокотемпературно-обработанное), в том числе обогащенное,т</t>
  </si>
  <si>
    <t>Смеси молочные и продукты в жидкой форме для детей раннего возраста,т</t>
  </si>
  <si>
    <t>Яйца без скорлупы и желтки яичные, свежие или консервированные; яйца в скорлупе консервированные или вареные; белок яичный,т</t>
  </si>
  <si>
    <t>Продукты пищевые из муки, крупы, крахмала (кроме детского питания),т</t>
  </si>
  <si>
    <t>Корма животные сухие,т</t>
  </si>
  <si>
    <t>Комбикорма,т</t>
  </si>
  <si>
    <t>Корма для сельскохозяйственных животных прочие,т</t>
  </si>
  <si>
    <t>Концентраты и смеси кормовые,т</t>
  </si>
  <si>
    <t>Производство напитков</t>
  </si>
  <si>
    <t>Водка,Тысяча декалитров</t>
  </si>
  <si>
    <t>Пиво, кроме отходов пивоварения,Тысяча декалитров</t>
  </si>
  <si>
    <t>Солод,т</t>
  </si>
  <si>
    <t>Воды минеральные природные питьевые,Тысяча полулитров</t>
  </si>
  <si>
    <t>Воды питьевые, в том числе газированные, расфасованные в емкости, не содержащие добавки сахара или других подслащивающих или вкусоароматических веществ,Тысяча полулитров</t>
  </si>
  <si>
    <t>тыс. банок</t>
  </si>
  <si>
    <t>Тыс. декалитров</t>
  </si>
  <si>
    <t>Тысяча полулитров</t>
  </si>
  <si>
    <t>Обеспечение электрической энергией, газом и паром; кондиционирование воздуха (раздел D)</t>
  </si>
  <si>
    <t xml:space="preserve"> Добыча полезных ископаемых (Раздел В)</t>
  </si>
  <si>
    <t xml:space="preserve"> Обрабатывающие производства (Раздел  С)</t>
  </si>
  <si>
    <t>Электроэнергия,Гигаватт-час (миллион киловатт-часов)</t>
  </si>
  <si>
    <t>Энергия тепловая, отпущенная тепловыми электроцентралями (ТЭЦ),Тысяча гигакалорий</t>
  </si>
  <si>
    <t>Энергия тепловая, отпущенная промышленными утилизационными установками,Тысяча гигакалорий</t>
  </si>
  <si>
    <t>Энергия тепловая, отпущенная котельными,Тысяча гигакалорий</t>
  </si>
  <si>
    <t>Тысяча гигакалорий</t>
  </si>
  <si>
    <t>Итого по промышленному производству (сумма разделов  В+C+D)</t>
  </si>
  <si>
    <t>Растениеводство и животноводство</t>
  </si>
  <si>
    <t>Деятельность в области культуры, спорта, организации досуга и развлечений, в том числе:</t>
  </si>
  <si>
    <t>**) индекс производства продукции расчитывается по разделам видов экономической деятельности и в целом по промышленности, лесозаготовкам, с/х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</si>
  <si>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</si>
  <si>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</si>
  <si>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</si>
  <si>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2022 г.</t>
  </si>
  <si>
    <t>2021 г.</t>
  </si>
  <si>
    <t>2023 г.</t>
  </si>
  <si>
    <t>2024 год</t>
  </si>
  <si>
    <t>2024 г.</t>
  </si>
  <si>
    <t xml:space="preserve">Прочие </t>
  </si>
  <si>
    <t>Налог, взимаемый в связи с применением упрощенной системы налогообложения</t>
  </si>
  <si>
    <t>Единый сельскохозяйственный налог</t>
  </si>
  <si>
    <t>Государственное управление</t>
  </si>
  <si>
    <t>Байкальское городское поселение</t>
  </si>
  <si>
    <t xml:space="preserve"> Строительство завода по глубокой переработке недревесной продукции леса</t>
  </si>
  <si>
    <t>ООО "Травы Байкала"</t>
  </si>
  <si>
    <t>экстракты(т)</t>
  </si>
  <si>
    <t>чайная продукция     (тыс.шт.)</t>
  </si>
  <si>
    <t xml:space="preserve">строительство завода по розливу воды и производству напитков </t>
  </si>
  <si>
    <t>ООО "Полезные напитки"      учредитель            Хорошутина Людмила Георгиевна</t>
  </si>
  <si>
    <t>Создание индустриального парка "Байкальский чистый продукт"</t>
  </si>
  <si>
    <t>Министерство экономического развития Иркутской области, 
АО "Корпорация развития Иркутской области"</t>
  </si>
  <si>
    <t>промплощадка ОАО "БЦБК" в г. Байкальске. Общая площадь: 305 га. Вид использования: для строительства промышленных предприятий</t>
  </si>
  <si>
    <t>Создание особой экономической зоны туристско-рекреационного типа "Ворота Байкала"
(далее - ОЭЗ)*</t>
  </si>
  <si>
    <t xml:space="preserve">  ГП Иркутской области "Государственная поддержка приоритетных отраслей экономики", частные инвесторы</t>
  </si>
  <si>
    <t>Создание коммунальной инфраструктуры: тепло - 32200 Гкал/год, вода - 2000 куб.м/день, э/энергия 20 МВт, телекоммуникации -  210 Мбит/сек., 
14 гостиниц, 112 коттеджей, 4,8 тыс. мест размещения</t>
  </si>
  <si>
    <t>Проданные номера, ед.</t>
  </si>
  <si>
    <t>Проходы, чел.</t>
  </si>
  <si>
    <t>Создание безотходной, экологически безопасной системы обращения с отходами в поселениях Юго-западного побережья озера Байкал с устройством мусороперерабатывающей станции по японской технологии (Байкальск)</t>
  </si>
  <si>
    <t>ООО "Экология Байкала" Сафонов Владимир Кириллович</t>
  </si>
  <si>
    <t xml:space="preserve">Создание  мусороперерабатывающей станции в г. Байкальске, в рамках государственно-частного партнерства на нежилое здание (бывшее здание цеха обезвоживания осадка БЦБК) расположенное по адресу: Иркутская область, Слюдянский район, г. Байкальск, Промплощадка, Центр, площадью 1434 кв. м., на базе которого будет создана мусороперерабатывающая  станция , и земельный участок  площадью до 10 Га.
</t>
  </si>
  <si>
    <t>Содействие реализации инвестиционного проекта ООО "Озеро Байкал " по строительству второй очереди завода по розливу питьевой бутилированной воды</t>
  </si>
  <si>
    <t>ООО "Озеро Байкал " Магер Алексей Николаевич</t>
  </si>
  <si>
    <t>строительство второй очереди завода по розливу питьевой бутилированной воды</t>
  </si>
  <si>
    <t>Строительство сауно-банного комплекса "Байкальские термы" (Байкальск)</t>
  </si>
  <si>
    <t>ООО ТФК "Байкальский бриз"</t>
  </si>
  <si>
    <t>Строительство сауно-банного комплекса</t>
  </si>
  <si>
    <t>Строительство транспортно-пересадочного узла (Байкальск)</t>
  </si>
  <si>
    <t>ООО "Архитектура"</t>
  </si>
  <si>
    <t>строительство пассажирского комплекса, выполняющего  функции по перераспределению пассажиропотоков между видами транспорта и направлениями движения.</t>
  </si>
  <si>
    <t xml:space="preserve">Содействие реализации инвестиционного проекта по созданию в г. Байкальске территории  «Байкальский квартал»  </t>
  </si>
  <si>
    <t xml:space="preserve">Г П Российской Федерации «Экономическое развитие и инновационная экономика» утвержденной постановлением Правительства Российской Федерации от 15 апреля 2014 года № 316 (далее – Госпрограмма). </t>
  </si>
  <si>
    <t xml:space="preserve">"Байкальский  квартал"-  туристическое пространство со своей инфраструктурой – зонами отдыха и развлечений, кафе, магазинами, ресторанами. </t>
  </si>
  <si>
    <t>разработан проект строительства спортивного ядра с физкультурно-оздоровительным комплексом для дополнительного образования детей и взрослых</t>
  </si>
  <si>
    <t xml:space="preserve">Строительство   объекта </t>
  </si>
  <si>
    <t>Строительство стадиона Победы</t>
  </si>
  <si>
    <t>МП "Формирование современной городской среды на территории Байкальского муниципального образования на 2018-2024годы" Частный инвестор</t>
  </si>
  <si>
    <t>Разработка ПСД</t>
  </si>
  <si>
    <t>Прохождение экологической и строительной экспертизы</t>
  </si>
  <si>
    <t xml:space="preserve">Строительство велолыжероллерной трассы </t>
  </si>
  <si>
    <t>Отработана гомологация предполагаемой трассы с Федерацией лыжных гонок России</t>
  </si>
  <si>
    <t>Реконструкция канализационных очистных сооружений   в г.Байкальске</t>
  </si>
  <si>
    <t>ФЦП «Охрана оз. Байкал и социально-экономическое развитие Байкальской природной территории»ГП "Охрана окружающей среды 2014-2024годы</t>
  </si>
  <si>
    <t>Реконструкция ТЭЦ БЦБК для обеспечения эффективного теплоснабжения г. Байкальска после закрытия ОАО "БЦБК"</t>
  </si>
  <si>
    <t>ФЦП «Охрана оз. Байкал и социально-экономическое развитие Байкальской природной территории»</t>
  </si>
  <si>
    <t xml:space="preserve">Объект реконструкции будет располагаться на земельном участке с кадастровым номером – 38:25020103:570 площадью             138 378 кв.м.
</t>
  </si>
  <si>
    <t xml:space="preserve">Реконструкция осуществляется на площадке существующей ТЭЦ г. Байкальска. В проекте реконструкции предусмотрено следующее:
- комплекс реконструируемых и вновь возводимых зданий и сооружений источника теплоснабжения располагается в пределах площадки ТЭЦ с максимальным использованием существующей инженерной инфраструктуры. В состав основных объектов реконструкции системы теплоснабжения входят здание котельной со вспомогательными объектами;
- в целях экономии средств, предусмотрена возможность использования существующих зданий и сооружений ТЭЦ города Байкальска;
- схема работы котельной обеспечивает отпуск тепла при последующей реконструкции тепловых сетей и переходе на закрытую систему ГВС. Предусмотрена возможность эксплуатации с существующей тепловой сетью и открытой системой ГВС;
- проектом предусмотрено использование существующей инфраструктуры транспортировки и складирования резервного топлива;
</t>
  </si>
  <si>
    <t xml:space="preserve"> проектом предусмотрена реконструкция безъемкостного разгрузочного устройства действующей ТЭЦ, галерей конвейеров 1А, Б, узла пересыпки №1 и замена всего оборудования, находящихся в этих сооружениях;
- проектом установлена производительность котельной 80 Гкал/час.
В качестве основного топлива в котельной используется древесная щепа и пеллеты. Резервное топливо угли различного качества, преимущественно бурый уголь. Растопочное топливо – дизельное.
</t>
  </si>
  <si>
    <t xml:space="preserve">Первоочередные мероприятия по подготовке к отопительному сезону  ТЭЦ г. Байкальска </t>
  </si>
  <si>
    <t>Государственная программа Иркутской области «Развитие жилищно-коммунального хозяйства Иркутской области» на 2014-2024 годы</t>
  </si>
  <si>
    <t xml:space="preserve">Переселение граждан из аварийного жилищного фонда г. Байкальска </t>
  </si>
  <si>
    <t xml:space="preserve">МАП "Переселение граждан, проживающих на территории Байкальского муниципального образования , из аварийного жилищного фонда,  в 2019-2025 годах 
Региональная адресная программа "Переселение граждан, проживающих на территории Иркутской области , из аварийного жилищного фонда, признанного  таковым до 01 января 2017 года  в 2019-2025 годах </t>
  </si>
  <si>
    <t>Капитальный ремонт  общего имущества многоквартирных домов на территории Байкальского городского поселения</t>
  </si>
  <si>
    <t>РП "Капитальный ремонт общего имущества многоквартирных домов на территории Иркутской области 2014-2043гг</t>
  </si>
  <si>
    <t xml:space="preserve">определение  видов работ капитального ремонта </t>
  </si>
  <si>
    <t>Благоустройство дворовых территорий Байкальского муниципального образования</t>
  </si>
  <si>
    <t>МП "Формирование современной городской среды на территории Байкальского муниципального образования на 2018-2024годы"</t>
  </si>
  <si>
    <t>Благоустройство муниципальных территорий общего пользования Байкальского муниципального образования</t>
  </si>
  <si>
    <t xml:space="preserve">ведутся работы по  благоустройству </t>
  </si>
  <si>
    <t>Разработка проектной документации по строительству объекта:Электроснабжение садоводческих некоммерческих товариществ,расположенных на территории Байкальского муниципального образования (СНТ Бабха-1,СНТ Бабха-2,СНТ Солзан,СНТ Южный,СНТ Горный Байкал,СНТ Строитель)</t>
  </si>
  <si>
    <t>Ремонт автомобильного моста через реку Харлахта,г.Байкальск</t>
  </si>
  <si>
    <t xml:space="preserve">Ремонт автомобильного моста </t>
  </si>
  <si>
    <t>ввод объекта в эксплуатацию</t>
  </si>
  <si>
    <t>Ремонт автомобильного моста через реку Солзан,г.Байкальск</t>
  </si>
  <si>
    <t xml:space="preserve">Строительство Многофункционального культурного центра Иркутская область, Слюдянский район, г. Байкальск, микрорайон Строитель, ул. Железнодорожная, №4А </t>
  </si>
  <si>
    <t>Организация размещения взлетно-посадочной площадки в г. Байкальске (малая авиация)</t>
  </si>
  <si>
    <t xml:space="preserve">Муниципальное образование Байкальское городское поселение,Министерство экономического развития Иркутской области
Муниципальное образование Слюдянский район,
Министерство имущественных отношений Иркутской области
</t>
  </si>
  <si>
    <t>разработка ПСД</t>
  </si>
  <si>
    <t>прохождение экологической и строительной экспертизы</t>
  </si>
  <si>
    <t>Организация размещения площадки под причаливание судов на воздушной подушке</t>
  </si>
  <si>
    <t>Строительство экологических троп и туристских маршрутов, смотровых площадок</t>
  </si>
  <si>
    <t xml:space="preserve">Постановление правительства Российской Федерации № 1619 от 7.12.2019 года,Муниципальное образование Байкальское городское поселение,
Муниципальное образование Слюдянский район, Министерство сельского хозяйства Иркутской области, Агентство по туризму Иркутской области
</t>
  </si>
  <si>
    <t>Реализация комплекса мероприятий по развитию агротуризма(создание плодово-ягодных садов в местности Утулик-Байкальск)</t>
  </si>
  <si>
    <t>создание плодово-ягодных садов в местности Утулик-Байкальск</t>
  </si>
  <si>
    <t>Развитие аквакультуры на территории г.Байкальска            (разведение  Байкальского осетра)</t>
  </si>
  <si>
    <t xml:space="preserve">Правительство РФ,  на основании протокола  от 02.03.2020г №ВА-П11-15пр ,ФЦП «Охрана оз. Байкал и социально-экономическое развитие Байкальской природной территории», ГП "Охрана окружающей среды" на 2014-2024 годы
</t>
  </si>
  <si>
    <t>Создание городского пляжа "Красный ключ"</t>
  </si>
  <si>
    <t xml:space="preserve">МП "Формирование современной городской среды на территории Байкальского муниципального образования на 2018-2024годы"
</t>
  </si>
  <si>
    <t>Рекомендуется выделять на береговой зоне следующие зоны:
- входную,
- зону озеленения,
- зону отдыха,
- зону обслуживания,
- спортивную зону,
- детский сектор и др.</t>
  </si>
  <si>
    <t>Прохождение экологической  экспертизы</t>
  </si>
  <si>
    <t>Создание городского пляжа</t>
  </si>
  <si>
    <t>Реализация мероприятий по ликвидации негативного воздействия отходов, накопленных в результате деятельности ОАО "БЦБК"</t>
  </si>
  <si>
    <t xml:space="preserve">ФЦП «Охрана оз. Байкал и социально-экономическое развитие Байкальской природной территории»
ГП "Охрана окружающей среды" 
на 2014-2024 годы
</t>
  </si>
  <si>
    <t xml:space="preserve">Правительство РФ назначило ФГУП «Федеральный экологический оператор» единственным исполнителем работ по ликвидации отходов ОАО «БЦБК» 
Таким образом, все работы, связанные с подготовкой проекта, необходимой проектной документации, дальнейшей ликвидацией вреда окружающей среде, который образовался в результате многолетней работы Байкальского ЦБК, будет исполнять ФГУП "Федеральный экологический оператор" (подразделение Госкорпорации "Росатом")
</t>
  </si>
  <si>
    <t>Слюдянское городское поселение</t>
  </si>
  <si>
    <t>Стротельство гостевой усадьбы</t>
  </si>
  <si>
    <t>АО Дорожник</t>
  </si>
  <si>
    <t>Стротельство семейного эколого-просветительского парка развлечений "Сказки Байкала"</t>
  </si>
  <si>
    <t>администрация Слюдянского городсокго поселения</t>
  </si>
  <si>
    <t>организация смотровых площадок в районе пади Талой-путепровод, поселка Буровщина, участок вдоль федеральной трассы Р-258 мыса Шаманский</t>
  </si>
  <si>
    <t>УПРОДОР «Южный Байкал».</t>
  </si>
  <si>
    <t>информация отсутствует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</si>
  <si>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</si>
  <si>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</si>
  <si>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</si>
  <si>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</si>
  <si>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</si>
  <si>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6.Новоснежнинское сельское поселение</t>
  </si>
  <si>
    <t>7.Быстринское сельское поселение</t>
  </si>
  <si>
    <t>8.Маритуйское сельское поселение</t>
  </si>
  <si>
    <t xml:space="preserve">Объем произведенной продукции в сопоставимых ценах </t>
  </si>
  <si>
    <t>2017 г.</t>
  </si>
  <si>
    <t>14 =
итог гр.10/
итог гр.9
* 100</t>
  </si>
  <si>
    <t>15 =
итог гр.11/
итог гр.10
* 100</t>
  </si>
  <si>
    <t>16 =
итог гр.12/
итог гр.11
* 100</t>
  </si>
  <si>
    <t>17 =
итог гр.13/
итог гр.12
* 100</t>
  </si>
  <si>
    <t>18 =
итог гр.14/
итог гр.13
* 100</t>
  </si>
  <si>
    <r>
      <t xml:space="preserve">Гранит, песчаник и прочий камень для памятников или строительства,тыс.т   </t>
    </r>
    <r>
      <rPr>
        <i/>
        <sz val="20"/>
        <rFont val="Times New Roman"/>
        <family val="1"/>
        <charset val="204"/>
      </rPr>
      <t>(цемсырье)</t>
    </r>
  </si>
  <si>
    <t>байк</t>
  </si>
  <si>
    <t>слюд</t>
  </si>
  <si>
    <t>култ</t>
  </si>
  <si>
    <t>порт</t>
  </si>
  <si>
    <t>утул</t>
  </si>
  <si>
    <t>н.сн</t>
  </si>
  <si>
    <t>быстр</t>
  </si>
  <si>
    <t>марит</t>
  </si>
  <si>
    <t xml:space="preserve">контроль </t>
  </si>
  <si>
    <t>не меняется</t>
  </si>
  <si>
    <t>2025 год</t>
  </si>
  <si>
    <t xml:space="preserve">1 вариант (КОНСЕРВАТИВНЫЙ) </t>
  </si>
  <si>
    <t xml:space="preserve">2 вариант (БАЗОВЫЙ) </t>
  </si>
  <si>
    <t>Факт 
2021 года</t>
  </si>
  <si>
    <t>Факт 
2021 г.</t>
  </si>
  <si>
    <t>2025 г.</t>
  </si>
  <si>
    <t>ФОТ %</t>
  </si>
  <si>
    <t>ЗАНЯТЫЕ</t>
  </si>
  <si>
    <t>Строительство    спортивного ядра с физкультурно-оздоровительным комплексом в г. Байкальске</t>
  </si>
  <si>
    <t>МП "Развитие физической культуры и спорта в БГП 2015-2024г., частный инвестор</t>
  </si>
  <si>
    <t>МП "Развитие физической культуры и спорта в БГП 2015-2024г, частный инвестор</t>
  </si>
  <si>
    <t>запланировано переселение 46 человек  площадь 816,3 кв.м</t>
  </si>
  <si>
    <t>запланировано переселение329 человек площадь 5660,9 кв.м</t>
  </si>
  <si>
    <t>запланировано переселение 381 человек  площадь 5864,3 кв.м</t>
  </si>
  <si>
    <t>определены виды работ капитального ремонта в мкр.Южный и мкр.Гагарина</t>
  </si>
  <si>
    <t xml:space="preserve">мкр.Южный, квартал,4 дом 19 ремонт инженерных коммуникаций
мкр.Южный, квартал,4 дом 20 ремонт инженерных коммуникаций
мкр.Южный,квартал,2 дом 40 ремонт кровли
мкр.Гагарина, дом 146 ремонт инженерных коммуникаций
мкр.Гагарина, дом 150 ремонт инженерных коммуникаций
</t>
  </si>
  <si>
    <t xml:space="preserve">выполнение работ по благоустройству территории общего пользования расположенной по адресу: Иркутская область, Слюдянский район, г. Байкальск, мкр. Гагарина, сквер «Целлюлозников», ул. Целлюлозников». </t>
  </si>
  <si>
    <t>частично МП «Формирование современной городской среды на территории Байкальского муниципального образования на 2018-2024годы»</t>
  </si>
  <si>
    <t>ГП "Реализация государственной политики в сфере строительства,дорожного хозяйства" на 2019-2024годы МП "Развитие траспортного комплекса и улично-дорожной сети Байкальского муниципального образования на 2015-2024гг</t>
  </si>
  <si>
    <t>ГП "Реализация государственной политики в сфере строительства,дорожного хозяйства" на 2019-2023годы МП "Развитие траспортного комплекса и улично-дорожной сети Байкальского муниципального образования на 2015-2024гг</t>
  </si>
  <si>
    <t>МП «Развитие культуры и досуга населения БГП на 2015-2024 г.г»</t>
  </si>
  <si>
    <t>Парк строителей КБЖД и набережная Байкала в Слюдянке</t>
  </si>
  <si>
    <t>ОАО "РЖД"</t>
  </si>
  <si>
    <t>Строительство клуба на 250 мест со спортивным залом</t>
  </si>
  <si>
    <t>ВСЕГО ПО РАЙОНУ</t>
  </si>
  <si>
    <t>Наименование населенного пункта, где осуществляет деятельность предприятие</t>
  </si>
  <si>
    <t>финансовые показатели</t>
  </si>
  <si>
    <t>социальные показатели</t>
  </si>
  <si>
    <t>Объем отгруженных товаров, 
выполненных работ и услуг, млн. руб.</t>
  </si>
  <si>
    <t>Выручка от реализации
товаров  (работ, услуг), млн. руб.</t>
  </si>
  <si>
    <t>Прибыль (убыток) до налогообложения, 
млн. руб.</t>
  </si>
  <si>
    <t>Среднесписочная 
численность работающих (чел.)</t>
  </si>
  <si>
    <t>Среднемесячная заработная плата, руб</t>
  </si>
  <si>
    <t>Фонд оплаты труда, млн. руб</t>
  </si>
  <si>
    <t>Сельское, лесное хозяйство, охота, рыбаловство и рыбоводство (А) - всего, 
в том числе:</t>
  </si>
  <si>
    <t>Лесоводство и лесозаготовки - всего</t>
  </si>
  <si>
    <t>в том числе предприятия:</t>
  </si>
  <si>
    <t>Добыча полезных ископаемых - всего (В)</t>
  </si>
  <si>
    <t>из них:</t>
  </si>
  <si>
    <t>Добыча прочих полезных ископаемых - всего</t>
  </si>
  <si>
    <t>АО "Ангарскцемент"</t>
  </si>
  <si>
    <t>г.Слюдянка</t>
  </si>
  <si>
    <t>АЩЗ филиал ОАО "ПНК"</t>
  </si>
  <si>
    <t>р.п.Култук</t>
  </si>
  <si>
    <t>Обрабатывающие производства, всего (С)</t>
  </si>
  <si>
    <t>Производство пищевых продуктов - всего</t>
  </si>
  <si>
    <t>ООО "БЗК"</t>
  </si>
  <si>
    <t>г.Байкальск</t>
  </si>
  <si>
    <t>ООО "ЦОТ"</t>
  </si>
  <si>
    <t>Производство напитков - всего</t>
  </si>
  <si>
    <t>ООО Байкальские Росы</t>
  </si>
  <si>
    <t>п.Култук</t>
  </si>
  <si>
    <t>ООО ПК Байкал Аква</t>
  </si>
  <si>
    <t>Порт Байкал</t>
  </si>
  <si>
    <t>ООО Байкал-Инком</t>
  </si>
  <si>
    <t>ООО Озеро Байкал Лун Чуан</t>
  </si>
  <si>
    <t>Производство бумаги и бумажных изделий - всего</t>
  </si>
  <si>
    <t>Деятельность полиграфическая и копирование носителей информации - всего</t>
  </si>
  <si>
    <t>ООО "БКП"</t>
  </si>
  <si>
    <t>р.п. Байкал (Порт)</t>
  </si>
  <si>
    <t>ООО "ККС"</t>
  </si>
  <si>
    <t>ООО "УКС"</t>
  </si>
  <si>
    <t>ООО "Теплоснабжение"</t>
  </si>
  <si>
    <t>ООО "УЖКС"</t>
  </si>
  <si>
    <t>МУП "КОС БМО"</t>
  </si>
  <si>
    <t>Строительство (F)- всего</t>
  </si>
  <si>
    <t>АО "Дорожник"</t>
  </si>
  <si>
    <t>Торговля оптовая и розничная; ремонт автотранспортных средств и мотоциклов (G) - всего</t>
  </si>
  <si>
    <t>ООО "ТРАСТ"</t>
  </si>
  <si>
    <t>г.Байкальск, г.Слюдянка</t>
  </si>
  <si>
    <t>ООО "Курбатов"</t>
  </si>
  <si>
    <t>ООО "СЛУХ"</t>
  </si>
  <si>
    <t>Транспортировка и хранение (H)- всего</t>
  </si>
  <si>
    <t>АО "ВСРП"</t>
  </si>
  <si>
    <t>п. Байкал, п. Култук</t>
  </si>
  <si>
    <t>ООО СтатусСиб</t>
  </si>
  <si>
    <t>Деятельность гостиниц и предприятий общественного питания (I)- всего</t>
  </si>
  <si>
    <t>Деятельность в области информации и связи (J) - всего</t>
  </si>
  <si>
    <t>ООО "Байкал-Премьер"</t>
  </si>
  <si>
    <t>МАУ "Славное море"</t>
  </si>
  <si>
    <t xml:space="preserve">Прочие - всего </t>
  </si>
  <si>
    <t>ОГБУСО "КЦСОН Слюдянского района"</t>
  </si>
  <si>
    <t>ГАПОУИО "Байкальский техникум ОТиС"</t>
  </si>
  <si>
    <t>ООО "ИРЦ"</t>
  </si>
  <si>
    <t>ОГБУЗ "Слюдянская РБ"</t>
  </si>
  <si>
    <t>Детский сад № 213 ОАО РЖД</t>
  </si>
  <si>
    <t>ООО "БГК Гора Соболиная"</t>
  </si>
  <si>
    <t>ВСЕГО по муниципальному образованию</t>
  </si>
  <si>
    <t xml:space="preserve">Приложение № 2 к прогнозу социально-экономического развития Слюдянского муниципального района на 2023 год и плановый период 2024 и 2025 годов </t>
  </si>
  <si>
    <t xml:space="preserve">Прогноз социально-экономического развития Слюдянского муниципального района на 2024 год и плановый период 2025 и 2026 годов  </t>
  </si>
  <si>
    <t>Факт 
2022 года</t>
  </si>
  <si>
    <t>Оценка 
2023 года</t>
  </si>
  <si>
    <t>2026 год</t>
  </si>
  <si>
    <t>Факт 
2022 г.</t>
  </si>
  <si>
    <t>Оценка 2023 г.</t>
  </si>
  <si>
    <t>2026 г.</t>
  </si>
  <si>
    <t>Отдельные показатели прогноза развития муниципальных образований поселенческого уровня на 2024-2026 годы*</t>
  </si>
  <si>
    <t>Приложение № 3 к прогнозу социально-экономического развития Слюдянского муниципального района на 2024 год и плановый период 2025 и 2026 годов</t>
  </si>
  <si>
    <t>Доходы бюджета, тыс. руб.</t>
  </si>
  <si>
    <t>Расходы бюджета, тыс. руб.</t>
  </si>
  <si>
    <t>Приложение № 4 к прогнозу социально-экономического развития Слюдянского муниципального района на 2024 год и плановый период 2025 и 2026 годов</t>
  </si>
  <si>
    <t>Сводный перечень инвестиционных проектов, реализация которых предполагается в 2023-2026 гг. 
Слюдянский муниципальный район
(наименование муниципального района, городского округа)</t>
  </si>
  <si>
    <t>Всего за 2023-2026 гг., 
в т.ч. по годам:</t>
  </si>
  <si>
    <t>Строительство и реконструкция КОС в п.Култук, п.Ангасолка</t>
  </si>
  <si>
    <t>ИПЦ</t>
  </si>
  <si>
    <t xml:space="preserve">2 вар </t>
  </si>
  <si>
    <t xml:space="preserve">1 вар </t>
  </si>
  <si>
    <t xml:space="preserve"> ТЕМП Оборот розн.торговли</t>
  </si>
  <si>
    <t>реал з/п</t>
  </si>
  <si>
    <r>
      <t xml:space="preserve">В том числе из общей численности работающих численность работников </t>
    </r>
    <r>
      <rPr>
        <i/>
        <sz val="14"/>
        <color rgb="FF7030A0"/>
        <rFont val="Times New Roman"/>
        <family val="1"/>
        <charset val="204"/>
      </rPr>
      <t>бюджетной сферы</t>
    </r>
    <r>
      <rPr>
        <i/>
        <sz val="14"/>
        <rFont val="Times New Roman"/>
        <family val="1"/>
        <charset val="204"/>
      </rPr>
      <t xml:space="preserve">, финансируемой из консолидированного местного бюджета-всего, </t>
    </r>
  </si>
  <si>
    <r>
      <t xml:space="preserve">В том числе из общей численности работающих численность работников </t>
    </r>
    <r>
      <rPr>
        <i/>
        <sz val="14"/>
        <color rgb="FF7030A0"/>
        <rFont val="Times New Roman"/>
        <family val="1"/>
        <charset val="204"/>
      </rPr>
      <t>малых предприятий</t>
    </r>
    <r>
      <rPr>
        <i/>
        <sz val="14"/>
        <rFont val="Times New Roman"/>
        <family val="1"/>
        <charset val="204"/>
      </rPr>
      <t xml:space="preserve"> (с учетом микропредприятий)-всего, </t>
    </r>
  </si>
  <si>
    <r>
      <t xml:space="preserve">Среднесписочная численность работников (без внешних совместителей) по </t>
    </r>
    <r>
      <rPr>
        <b/>
        <i/>
        <sz val="14"/>
        <color rgb="FF7030A0"/>
        <rFont val="Times New Roman"/>
        <family val="1"/>
        <charset val="204"/>
      </rPr>
      <t>полному</t>
    </r>
    <r>
      <rPr>
        <b/>
        <i/>
        <sz val="14"/>
        <rFont val="Times New Roman"/>
        <family val="1"/>
      </rPr>
      <t xml:space="preserve"> кругу организаций,</t>
    </r>
  </si>
  <si>
    <r>
      <t xml:space="preserve">Среднемесячная начисленная заработная плата работников </t>
    </r>
    <r>
      <rPr>
        <i/>
        <sz val="14"/>
        <color rgb="FF7030A0"/>
        <rFont val="Times New Roman"/>
        <family val="1"/>
        <charset val="204"/>
      </rPr>
      <t>бюджетной сферы,</t>
    </r>
    <r>
      <rPr>
        <i/>
        <sz val="14"/>
        <rFont val="Times New Roman"/>
        <family val="1"/>
        <charset val="204"/>
      </rPr>
      <t xml:space="preserve"> финансируемой из консолидированного местного бюджета с учетом "дорожных карт" МО - всего, </t>
    </r>
  </si>
  <si>
    <r>
      <t xml:space="preserve">Среднемесячная начисленная заработная плата работников </t>
    </r>
    <r>
      <rPr>
        <b/>
        <i/>
        <sz val="14"/>
        <color rgb="FF7030A0"/>
        <rFont val="Times New Roman"/>
        <family val="1"/>
        <charset val="204"/>
      </rPr>
      <t xml:space="preserve">малых предприятий </t>
    </r>
    <r>
      <rPr>
        <b/>
        <i/>
        <sz val="14"/>
        <rFont val="Times New Roman"/>
        <family val="1"/>
        <charset val="204"/>
      </rPr>
      <t>(с учетом микропредприятий)</t>
    </r>
  </si>
  <si>
    <t>Дефлятор добыча прочих полез иск.</t>
  </si>
  <si>
    <t>Дефлятор производство пищевых прод,напит</t>
  </si>
  <si>
    <t>Дефлятор электроэн, газ, пар</t>
  </si>
  <si>
    <t xml:space="preserve">Приложение № 1 к прогнозу социально-экономического развития Слюдянского муниципального района на 2024 год и плановый период 2025 и 2026 годов </t>
  </si>
  <si>
    <t>Факт
2022 г.</t>
  </si>
  <si>
    <t>Оценка 
2023 г.</t>
  </si>
  <si>
    <t>Прогноз на 2024-2026 гг.</t>
  </si>
  <si>
    <t>ООО "Тепловые сети"</t>
  </si>
  <si>
    <t>Всего за 2024-2026 гг., 
в т.ч. по годам:</t>
  </si>
  <si>
    <t>дельта безраб.23/безраб 22 по цзн</t>
  </si>
  <si>
    <t>ур.безр.0,4</t>
  </si>
  <si>
    <t>РФ инвест темп</t>
  </si>
  <si>
    <t>Администрация Култукского городского поселения</t>
  </si>
  <si>
    <t>Култукское городское поселение</t>
  </si>
  <si>
    <t>меняется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</si>
</sst>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₽_-;\-* #,##0.00\ _₽_-;_-* &quot;-&quot;??\ _₽_-;_-@_-"/>
    <numFmt numFmtId="164" formatCode="0.0"/>
    <numFmt numFmtId="165" formatCode="0.000"/>
    <numFmt numFmtId="166" formatCode="#,##0.000"/>
    <numFmt numFmtId="167" formatCode="#,##0.0"/>
    <numFmt numFmtId="168" formatCode="#,##0.00_ ;\-#,##0.00\ "/>
    <numFmt numFmtId="169" formatCode="_-* #,##0.0\ _₽_-;\-* #,##0.0\ _₽_-;_-* &quot;-&quot;??\ _₽_-;_-@_-"/>
    <numFmt numFmtId="170" formatCode="_-* #,##0.00\ _₽_-;\-* #,##0.00\ _₽_-;_-* &quot;-&quot;???\ _₽_-;_-@_-"/>
  </numFmts>
  <fonts count="7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name val="Arial Cyr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</font>
    <font>
      <sz val="8"/>
      <name val="Arial Cyr"/>
      <charset val="204"/>
    </font>
    <font>
      <b/>
      <sz val="12"/>
      <name val="Times New Roman"/>
      <family val="1"/>
    </font>
    <font>
      <sz val="10"/>
      <name val="Times New Roman"/>
      <family val="1"/>
      <charset val="204"/>
    </font>
    <font>
      <b/>
      <sz val="22"/>
      <name val="Arial Cyr"/>
      <family val="2"/>
      <charset val="204"/>
    </font>
    <font>
      <b/>
      <sz val="16"/>
      <name val="Arial Cyr"/>
      <family val="2"/>
      <charset val="204"/>
    </font>
    <font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name val="Arial Cyr"/>
      <charset val="204"/>
    </font>
    <font>
      <sz val="16"/>
      <name val="Times New Roman"/>
      <family val="1"/>
      <charset val="204"/>
    </font>
    <font>
      <sz val="16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Arial Cyr"/>
      <charset val="204"/>
    </font>
    <font>
      <i/>
      <sz val="12"/>
      <name val="Times New Roman"/>
      <family val="1"/>
      <charset val="204"/>
    </font>
    <font>
      <b/>
      <sz val="20"/>
      <name val="Times New Roman"/>
      <family val="1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Arial"/>
      <family val="2"/>
      <charset val="204"/>
    </font>
    <font>
      <b/>
      <sz val="10"/>
      <name val="Times New Roman CYR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0"/>
      <name val="Arial Cyr"/>
      <charset val="204"/>
    </font>
    <font>
      <b/>
      <sz val="10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4"/>
      <name val="Times"/>
      <family val="1"/>
    </font>
    <font>
      <sz val="11"/>
      <name val="Times New Roman"/>
      <family val="1"/>
      <charset val="204"/>
    </font>
    <font>
      <sz val="11"/>
      <name val="Arial Cyr"/>
      <charset val="204"/>
    </font>
    <font>
      <sz val="10"/>
      <color indexed="8"/>
      <name val="Times New Roman"/>
      <family val="1"/>
      <charset val="204"/>
    </font>
    <font>
      <sz val="10"/>
      <name val="Arial"/>
      <family val="2"/>
      <charset val="204"/>
    </font>
    <font>
      <sz val="20"/>
      <color theme="0"/>
      <name val="Times New Roman"/>
      <family val="1"/>
      <charset val="204"/>
    </font>
    <font>
      <sz val="14"/>
      <color theme="0" tint="-0.34998626667073579"/>
      <name val="Times New Roman"/>
      <family val="1"/>
      <charset val="204"/>
    </font>
    <font>
      <sz val="10"/>
      <color theme="0" tint="-0.34998626667073579"/>
      <name val="Arial Cyr"/>
      <charset val="204"/>
    </font>
    <font>
      <sz val="10"/>
      <name val="Times New Roman"/>
      <family val="1"/>
    </font>
    <font>
      <b/>
      <sz val="10"/>
      <name val="Times New Roman"/>
      <family val="1"/>
    </font>
    <font>
      <i/>
      <sz val="14"/>
      <color rgb="FF7030A0"/>
      <name val="Times New Roman"/>
      <family val="1"/>
      <charset val="204"/>
    </font>
    <font>
      <b/>
      <i/>
      <sz val="14"/>
      <color rgb="FF7030A0"/>
      <name val="Times New Roman"/>
      <family val="1"/>
      <charset val="204"/>
    </font>
    <font>
      <i/>
      <sz val="14"/>
      <name val="Times"/>
      <family val="1"/>
    </font>
    <font>
      <sz val="10"/>
      <color theme="0" tint="-0.34998626667073579"/>
      <name val="Times New Roman"/>
      <family val="1"/>
      <charset val="204"/>
    </font>
    <font>
      <sz val="12"/>
      <color theme="0" tint="-0.34998626667073579"/>
      <name val="Times New Roman"/>
      <family val="1"/>
      <charset val="204"/>
    </font>
    <font>
      <b/>
      <sz val="14"/>
      <color theme="0" tint="-0.34998626667073579"/>
      <name val="Times New Roman"/>
      <family val="1"/>
      <charset val="204"/>
    </font>
    <font>
      <i/>
      <sz val="14"/>
      <color theme="0" tint="-0.34998626667073579"/>
      <name val="Times New Roman"/>
      <family val="1"/>
      <charset val="204"/>
    </font>
    <font>
      <b/>
      <sz val="12"/>
      <color theme="0" tint="-0.34998626667073579"/>
      <name val="Arial Cyr"/>
      <charset val="204"/>
    </font>
    <font>
      <b/>
      <sz val="14"/>
      <color theme="0" tint="-0.34998626667073579"/>
      <name val="Arial Cyr"/>
      <charset val="204"/>
    </font>
    <font>
      <sz val="14"/>
      <color theme="0" tint="-0.34998626667073579"/>
      <name val="Times New Roman"/>
      <family val="1"/>
    </font>
    <font>
      <sz val="14"/>
      <color theme="0" tint="-0.34998626667073579"/>
      <name val="Arial Cyr"/>
      <charset val="204"/>
    </font>
    <font>
      <b/>
      <sz val="10"/>
      <color theme="0" tint="-0.34998626667073579"/>
      <name val="Arial Cyr"/>
      <charset val="204"/>
    </font>
    <font>
      <sz val="11"/>
      <color theme="0" tint="-0.34998626667073579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dotted">
        <color indexed="64"/>
      </right>
      <top style="dashed">
        <color indexed="23"/>
      </top>
      <bottom style="dashed">
        <color indexed="23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thin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23"/>
      </bottom>
      <diagonal/>
    </border>
  </borders>
  <cellStyleXfs count="3">
    <xf numFmtId="0" fontId="0" fillId="0" borderId="0"/>
    <xf numFmtId="43" fontId="38" fillId="0" borderId="0" applyFont="0" applyFill="0" applyBorder="0" applyAlignment="0" applyProtection="0"/>
    <xf numFmtId="0" fontId="1" fillId="0" borderId="0"/>
  </cellStyleXfs>
  <cellXfs count="578">
    <xf numFmtId="0" fontId="0" fillId="0" borderId="0" xfId="0"/>
    <xf numFmtId="0" fontId="13" fillId="0" borderId="0" xfId="0" applyFont="1"/>
    <xf numFmtId="0" fontId="19" fillId="0" borderId="2" xfId="0" applyFont="1" applyBorder="1" applyAlignment="1">
      <alignment horizontal="center"/>
    </xf>
    <xf numFmtId="0" fontId="22" fillId="0" borderId="2" xfId="0" applyFont="1" applyBorder="1"/>
    <xf numFmtId="0" fontId="21" fillId="0" borderId="3" xfId="0" applyFont="1" applyBorder="1" applyAlignment="1">
      <alignment wrapText="1"/>
    </xf>
    <xf numFmtId="0" fontId="19" fillId="0" borderId="3" xfId="0" applyFont="1" applyBorder="1" applyAlignment="1">
      <alignment horizontal="center"/>
    </xf>
    <xf numFmtId="0" fontId="19" fillId="0" borderId="3" xfId="0" applyFont="1" applyBorder="1" applyAlignment="1">
      <alignment horizontal="center" wrapText="1"/>
    </xf>
    <xf numFmtId="0" fontId="22" fillId="0" borderId="3" xfId="0" applyFont="1" applyBorder="1"/>
    <xf numFmtId="0" fontId="19" fillId="0" borderId="3" xfId="0" applyFont="1" applyBorder="1" applyAlignment="1">
      <alignment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wrapText="1"/>
    </xf>
    <xf numFmtId="0" fontId="19" fillId="0" borderId="3" xfId="0" applyFont="1" applyFill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22" fillId="0" borderId="5" xfId="0" applyFont="1" applyBorder="1"/>
    <xf numFmtId="0" fontId="19" fillId="0" borderId="2" xfId="0" applyFont="1" applyBorder="1" applyAlignment="1">
      <alignment vertical="center" wrapText="1"/>
    </xf>
    <xf numFmtId="0" fontId="19" fillId="0" borderId="2" xfId="0" applyFont="1" applyBorder="1"/>
    <xf numFmtId="0" fontId="19" fillId="0" borderId="3" xfId="0" applyFont="1" applyBorder="1" applyAlignment="1">
      <alignment vertical="center" wrapText="1"/>
    </xf>
    <xf numFmtId="0" fontId="19" fillId="0" borderId="3" xfId="0" applyFont="1" applyBorder="1"/>
    <xf numFmtId="0" fontId="23" fillId="0" borderId="0" xfId="0" applyFont="1"/>
    <xf numFmtId="0" fontId="24" fillId="0" borderId="0" xfId="0" applyFont="1"/>
    <xf numFmtId="0" fontId="16" fillId="0" borderId="0" xfId="0" applyFont="1"/>
    <xf numFmtId="0" fontId="19" fillId="0" borderId="0" xfId="0" applyFont="1" applyBorder="1" applyAlignment="1">
      <alignment horizontal="center"/>
    </xf>
    <xf numFmtId="0" fontId="22" fillId="0" borderId="0" xfId="0" applyFont="1" applyBorder="1"/>
    <xf numFmtId="0" fontId="23" fillId="0" borderId="0" xfId="0" applyFont="1" applyFill="1"/>
    <xf numFmtId="0" fontId="22" fillId="2" borderId="2" xfId="0" applyFont="1" applyFill="1" applyBorder="1"/>
    <xf numFmtId="0" fontId="22" fillId="2" borderId="3" xfId="0" applyFont="1" applyFill="1" applyBorder="1"/>
    <xf numFmtId="0" fontId="19" fillId="2" borderId="2" xfId="0" applyFont="1" applyFill="1" applyBorder="1"/>
    <xf numFmtId="0" fontId="19" fillId="2" borderId="3" xfId="0" applyFont="1" applyFill="1" applyBorder="1"/>
    <xf numFmtId="0" fontId="21" fillId="0" borderId="6" xfId="0" applyFont="1" applyBorder="1" applyAlignment="1">
      <alignment wrapText="1"/>
    </xf>
    <xf numFmtId="0" fontId="20" fillId="0" borderId="5" xfId="0" applyFont="1" applyBorder="1" applyAlignment="1">
      <alignment wrapText="1"/>
    </xf>
    <xf numFmtId="0" fontId="20" fillId="0" borderId="5" xfId="0" applyFont="1" applyBorder="1" applyAlignment="1">
      <alignment vertical="center" wrapText="1"/>
    </xf>
    <xf numFmtId="0" fontId="20" fillId="0" borderId="7" xfId="0" applyFont="1" applyBorder="1" applyAlignment="1">
      <alignment wrapText="1"/>
    </xf>
    <xf numFmtId="0" fontId="19" fillId="0" borderId="8" xfId="0" applyFont="1" applyBorder="1"/>
    <xf numFmtId="0" fontId="19" fillId="0" borderId="9" xfId="0" applyFont="1" applyBorder="1"/>
    <xf numFmtId="0" fontId="22" fillId="0" borderId="9" xfId="0" applyFont="1" applyBorder="1"/>
    <xf numFmtId="0" fontId="19" fillId="0" borderId="3" xfId="0" applyFont="1" applyFill="1" applyBorder="1" applyAlignment="1">
      <alignment vertical="center" wrapText="1"/>
    </xf>
    <xf numFmtId="0" fontId="11" fillId="0" borderId="0" xfId="0" applyFont="1"/>
    <xf numFmtId="0" fontId="0" fillId="0" borderId="0" xfId="0" applyFill="1"/>
    <xf numFmtId="0" fontId="15" fillId="0" borderId="0" xfId="0" applyFont="1" applyFill="1" applyAlignment="1">
      <alignment horizontal="right" vertical="center" wrapText="1"/>
    </xf>
    <xf numFmtId="0" fontId="0" fillId="0" borderId="0" xfId="0" applyFill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9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9" fillId="0" borderId="19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/>
    </xf>
    <xf numFmtId="0" fontId="21" fillId="0" borderId="19" xfId="0" applyFont="1" applyBorder="1" applyAlignment="1">
      <alignment wrapText="1"/>
    </xf>
    <xf numFmtId="0" fontId="32" fillId="0" borderId="0" xfId="0" applyFont="1" applyFill="1" applyAlignment="1">
      <alignment horizontal="right" vertical="center" wrapText="1"/>
    </xf>
    <xf numFmtId="0" fontId="36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7" fillId="0" borderId="0" xfId="0" applyFont="1" applyFill="1" applyBorder="1" applyAlignment="1">
      <alignment horizontal="center" vertical="center"/>
    </xf>
    <xf numFmtId="0" fontId="0" fillId="0" borderId="0" xfId="0" applyBorder="1"/>
    <xf numFmtId="0" fontId="12" fillId="0" borderId="0" xfId="0" applyFont="1" applyAlignment="1">
      <alignment vertical="center" wrapText="1"/>
    </xf>
    <xf numFmtId="0" fontId="19" fillId="0" borderId="2" xfId="0" applyFont="1" applyBorder="1" applyAlignment="1">
      <alignment wrapText="1"/>
    </xf>
    <xf numFmtId="0" fontId="21" fillId="0" borderId="4" xfId="0" applyFont="1" applyBorder="1" applyAlignment="1">
      <alignment wrapText="1"/>
    </xf>
    <xf numFmtId="0" fontId="23" fillId="4" borderId="13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 wrapText="1"/>
    </xf>
    <xf numFmtId="0" fontId="23" fillId="4" borderId="14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36" fillId="4" borderId="1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vertical="center" wrapText="1"/>
    </xf>
    <xf numFmtId="0" fontId="15" fillId="0" borderId="0" xfId="0" applyFont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31" fillId="6" borderId="10" xfId="0" applyFont="1" applyFill="1" applyBorder="1" applyAlignment="1">
      <alignment vertical="center" wrapText="1"/>
    </xf>
    <xf numFmtId="0" fontId="5" fillId="6" borderId="16" xfId="0" applyFont="1" applyFill="1" applyBorder="1" applyAlignment="1">
      <alignment horizontal="center" vertical="center"/>
    </xf>
    <xf numFmtId="0" fontId="0" fillId="6" borderId="0" xfId="0" applyFill="1"/>
    <xf numFmtId="0" fontId="31" fillId="6" borderId="16" xfId="0" applyFont="1" applyFill="1" applyBorder="1" applyAlignment="1">
      <alignment horizontal="left" vertical="center" wrapText="1"/>
    </xf>
    <xf numFmtId="0" fontId="5" fillId="6" borderId="25" xfId="0" applyFont="1" applyFill="1" applyBorder="1" applyAlignment="1">
      <alignment horizontal="center" vertical="center"/>
    </xf>
    <xf numFmtId="0" fontId="0" fillId="6" borderId="9" xfId="0" applyFill="1" applyBorder="1"/>
    <xf numFmtId="0" fontId="31" fillId="6" borderId="25" xfId="0" applyFont="1" applyFill="1" applyBorder="1" applyAlignment="1">
      <alignment vertical="center" wrapText="1"/>
    </xf>
    <xf numFmtId="0" fontId="34" fillId="6" borderId="24" xfId="0" applyFont="1" applyFill="1" applyBorder="1" applyAlignment="1">
      <alignment horizontal="left" vertical="center" wrapText="1"/>
    </xf>
    <xf numFmtId="0" fontId="7" fillId="6" borderId="10" xfId="0" applyFont="1" applyFill="1" applyBorder="1" applyAlignment="1">
      <alignment vertical="center" wrapText="1"/>
    </xf>
    <xf numFmtId="0" fontId="27" fillId="6" borderId="10" xfId="0" applyFont="1" applyFill="1" applyBorder="1" applyAlignment="1">
      <alignment vertical="center" wrapText="1"/>
    </xf>
    <xf numFmtId="0" fontId="29" fillId="6" borderId="10" xfId="0" applyFont="1" applyFill="1" applyBorder="1" applyAlignment="1">
      <alignment vertical="center" wrapText="1"/>
    </xf>
    <xf numFmtId="0" fontId="31" fillId="6" borderId="10" xfId="0" applyFont="1" applyFill="1" applyBorder="1" applyAlignment="1">
      <alignment horizontal="right" vertical="center" wrapText="1"/>
    </xf>
    <xf numFmtId="0" fontId="11" fillId="6" borderId="35" xfId="0" applyFont="1" applyFill="1" applyBorder="1" applyAlignment="1">
      <alignment horizontal="left" wrapText="1"/>
    </xf>
    <xf numFmtId="0" fontId="5" fillId="6" borderId="10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left" wrapText="1"/>
    </xf>
    <xf numFmtId="0" fontId="5" fillId="6" borderId="11" xfId="0" applyFont="1" applyFill="1" applyBorder="1" applyAlignment="1">
      <alignment horizontal="left" vertical="center" wrapText="1"/>
    </xf>
    <xf numFmtId="0" fontId="5" fillId="6" borderId="11" xfId="0" applyFont="1" applyFill="1" applyBorder="1" applyAlignment="1">
      <alignment horizontal="left"/>
    </xf>
    <xf numFmtId="0" fontId="5" fillId="6" borderId="34" xfId="0" applyFont="1" applyFill="1" applyBorder="1" applyAlignment="1">
      <alignment horizontal="left"/>
    </xf>
    <xf numFmtId="0" fontId="0" fillId="7" borderId="0" xfId="0" applyFill="1"/>
    <xf numFmtId="0" fontId="33" fillId="0" borderId="0" xfId="0" applyFont="1"/>
    <xf numFmtId="0" fontId="23" fillId="4" borderId="23" xfId="0" applyFont="1" applyFill="1" applyBorder="1" applyAlignment="1">
      <alignment horizontal="center" vertical="center" wrapText="1"/>
    </xf>
    <xf numFmtId="0" fontId="19" fillId="6" borderId="4" xfId="0" applyFont="1" applyFill="1" applyBorder="1" applyAlignment="1">
      <alignment horizontal="center" vertical="center" wrapText="1"/>
    </xf>
    <xf numFmtId="0" fontId="19" fillId="6" borderId="2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 vertical="center" wrapText="1"/>
    </xf>
    <xf numFmtId="2" fontId="22" fillId="2" borderId="3" xfId="0" applyNumberFormat="1" applyFont="1" applyFill="1" applyBorder="1"/>
    <xf numFmtId="0" fontId="19" fillId="8" borderId="3" xfId="0" applyFont="1" applyFill="1" applyBorder="1" applyAlignment="1">
      <alignment wrapText="1"/>
    </xf>
    <xf numFmtId="0" fontId="19" fillId="8" borderId="3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/>
    </xf>
    <xf numFmtId="0" fontId="19" fillId="8" borderId="19" xfId="0" applyFont="1" applyFill="1" applyBorder="1" applyAlignment="1">
      <alignment horizontal="center"/>
    </xf>
    <xf numFmtId="0" fontId="19" fillId="8" borderId="19" xfId="0" applyFont="1" applyFill="1" applyBorder="1" applyAlignment="1">
      <alignment horizontal="center" vertical="center" wrapText="1"/>
    </xf>
    <xf numFmtId="0" fontId="22" fillId="8" borderId="3" xfId="0" applyFont="1" applyFill="1" applyBorder="1"/>
    <xf numFmtId="2" fontId="44" fillId="2" borderId="3" xfId="0" applyNumberFormat="1" applyFont="1" applyFill="1" applyBorder="1"/>
    <xf numFmtId="0" fontId="0" fillId="8" borderId="0" xfId="0" applyFill="1"/>
    <xf numFmtId="0" fontId="30" fillId="0" borderId="0" xfId="0" applyFont="1" applyFill="1"/>
    <xf numFmtId="0" fontId="30" fillId="0" borderId="0" xfId="0" applyFont="1" applyFill="1" applyBorder="1"/>
    <xf numFmtId="0" fontId="2" fillId="0" borderId="0" xfId="0" applyFont="1" applyFill="1" applyAlignment="1">
      <alignment horizontal="right"/>
    </xf>
    <xf numFmtId="0" fontId="2" fillId="0" borderId="0" xfId="0" applyFont="1" applyFill="1"/>
    <xf numFmtId="0" fontId="2" fillId="0" borderId="0" xfId="0" applyFont="1" applyFill="1" applyBorder="1"/>
    <xf numFmtId="0" fontId="0" fillId="0" borderId="0" xfId="0" applyFill="1" applyBorder="1"/>
    <xf numFmtId="0" fontId="0" fillId="0" borderId="0" xfId="0" applyFont="1"/>
    <xf numFmtId="0" fontId="33" fillId="6" borderId="1" xfId="0" applyFont="1" applyFill="1" applyBorder="1" applyAlignment="1">
      <alignment vertical="center" wrapText="1"/>
    </xf>
    <xf numFmtId="0" fontId="0" fillId="6" borderId="1" xfId="0" applyFill="1" applyBorder="1"/>
    <xf numFmtId="0" fontId="34" fillId="6" borderId="1" xfId="0" applyFont="1" applyFill="1" applyBorder="1" applyAlignment="1">
      <alignment vertical="center" wrapText="1"/>
    </xf>
    <xf numFmtId="0" fontId="42" fillId="0" borderId="20" xfId="0" applyFont="1" applyBorder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42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20" xfId="0" applyFont="1" applyBorder="1" applyAlignment="1">
      <alignment horizontal="center" wrapText="1"/>
    </xf>
    <xf numFmtId="0" fontId="16" fillId="6" borderId="1" xfId="0" applyFont="1" applyFill="1" applyBorder="1"/>
    <xf numFmtId="0" fontId="16" fillId="6" borderId="1" xfId="0" applyFont="1" applyFill="1" applyBorder="1" applyAlignment="1">
      <alignment horizontal="center" vertical="center" wrapText="1"/>
    </xf>
    <xf numFmtId="0" fontId="16" fillId="6" borderId="20" xfId="0" applyFont="1" applyFill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" xfId="0" applyFont="1" applyBorder="1"/>
    <xf numFmtId="0" fontId="16" fillId="0" borderId="1" xfId="0" applyFont="1" applyBorder="1"/>
    <xf numFmtId="0" fontId="16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 vertical="center"/>
    </xf>
    <xf numFmtId="0" fontId="42" fillId="0" borderId="1" xfId="0" applyFont="1" applyBorder="1"/>
    <xf numFmtId="2" fontId="16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wrapText="1"/>
    </xf>
    <xf numFmtId="0" fontId="16" fillId="6" borderId="1" xfId="0" applyFont="1" applyFill="1" applyBorder="1" applyAlignment="1">
      <alignment horizontal="center"/>
    </xf>
    <xf numFmtId="2" fontId="16" fillId="6" borderId="1" xfId="0" applyNumberFormat="1" applyFont="1" applyFill="1" applyBorder="1" applyAlignment="1">
      <alignment horizontal="center"/>
    </xf>
    <xf numFmtId="0" fontId="42" fillId="0" borderId="1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wrapText="1"/>
    </xf>
    <xf numFmtId="0" fontId="42" fillId="6" borderId="1" xfId="0" applyFont="1" applyFill="1" applyBorder="1" applyAlignment="1">
      <alignment horizontal="center" vertical="center" wrapText="1"/>
    </xf>
    <xf numFmtId="2" fontId="16" fillId="0" borderId="1" xfId="0" applyNumberFormat="1" applyFont="1" applyBorder="1" applyAlignment="1">
      <alignment horizontal="center" vertical="center"/>
    </xf>
    <xf numFmtId="0" fontId="42" fillId="0" borderId="0" xfId="0" applyFont="1" applyAlignment="1">
      <alignment wrapText="1"/>
    </xf>
    <xf numFmtId="0" fontId="16" fillId="0" borderId="1" xfId="0" applyFont="1" applyBorder="1" applyAlignment="1">
      <alignment horizontal="left" wrapText="1"/>
    </xf>
    <xf numFmtId="0" fontId="42" fillId="0" borderId="27" xfId="0" applyFont="1" applyBorder="1" applyAlignment="1">
      <alignment horizontal="left"/>
    </xf>
    <xf numFmtId="0" fontId="51" fillId="6" borderId="1" xfId="0" applyFont="1" applyFill="1" applyBorder="1" applyAlignment="1">
      <alignment horizontal="center" vertical="center" wrapText="1"/>
    </xf>
    <xf numFmtId="2" fontId="51" fillId="6" borderId="1" xfId="0" applyNumberFormat="1" applyFont="1" applyFill="1" applyBorder="1" applyAlignment="1">
      <alignment horizontal="center" vertical="center" wrapText="1"/>
    </xf>
    <xf numFmtId="0" fontId="52" fillId="0" borderId="1" xfId="2" applyFont="1" applyBorder="1" applyAlignment="1">
      <alignment horizontal="center" wrapText="1"/>
    </xf>
    <xf numFmtId="0" fontId="52" fillId="0" borderId="1" xfId="2" applyFont="1" applyBorder="1"/>
    <xf numFmtId="2" fontId="41" fillId="10" borderId="1" xfId="0" applyNumberFormat="1" applyFont="1" applyFill="1" applyBorder="1"/>
    <xf numFmtId="0" fontId="19" fillId="4" borderId="1" xfId="0" applyFont="1" applyFill="1" applyBorder="1" applyAlignment="1">
      <alignment horizontal="center" vertical="center" wrapText="1"/>
    </xf>
    <xf numFmtId="4" fontId="41" fillId="10" borderId="1" xfId="0" applyNumberFormat="1" applyFont="1" applyFill="1" applyBorder="1"/>
    <xf numFmtId="0" fontId="55" fillId="0" borderId="0" xfId="0" applyFont="1"/>
    <xf numFmtId="4" fontId="0" fillId="0" borderId="0" xfId="0" applyNumberFormat="1" applyFont="1"/>
    <xf numFmtId="0" fontId="13" fillId="6" borderId="1" xfId="0" applyFont="1" applyFill="1" applyBorder="1" applyAlignment="1">
      <alignment vertical="center" wrapText="1"/>
    </xf>
    <xf numFmtId="0" fontId="13" fillId="6" borderId="46" xfId="0" applyFont="1" applyFill="1" applyBorder="1" applyAlignment="1">
      <alignment vertical="center"/>
    </xf>
    <xf numFmtId="2" fontId="13" fillId="6" borderId="46" xfId="0" applyNumberFormat="1" applyFont="1" applyFill="1" applyBorder="1" applyAlignment="1">
      <alignment vertical="center"/>
    </xf>
    <xf numFmtId="0" fontId="56" fillId="6" borderId="0" xfId="0" applyFont="1" applyFill="1" applyAlignment="1">
      <alignment vertical="center"/>
    </xf>
    <xf numFmtId="0" fontId="13" fillId="6" borderId="21" xfId="0" applyFont="1" applyFill="1" applyBorder="1" applyAlignment="1">
      <alignment vertical="center" wrapText="1"/>
    </xf>
    <xf numFmtId="0" fontId="13" fillId="6" borderId="42" xfId="0" applyFont="1" applyFill="1" applyBorder="1" applyAlignment="1">
      <alignment vertical="center"/>
    </xf>
    <xf numFmtId="2" fontId="13" fillId="6" borderId="42" xfId="0" applyNumberFormat="1" applyFont="1" applyFill="1" applyBorder="1" applyAlignment="1">
      <alignment vertical="center"/>
    </xf>
    <xf numFmtId="165" fontId="13" fillId="6" borderId="42" xfId="0" applyNumberFormat="1" applyFont="1" applyFill="1" applyBorder="1" applyAlignment="1">
      <alignment vertical="center"/>
    </xf>
    <xf numFmtId="0" fontId="29" fillId="6" borderId="1" xfId="0" applyFont="1" applyFill="1" applyBorder="1" applyAlignment="1">
      <alignment vertical="center" wrapText="1"/>
    </xf>
    <xf numFmtId="4" fontId="13" fillId="6" borderId="46" xfId="0" applyNumberFormat="1" applyFont="1" applyFill="1" applyBorder="1" applyAlignment="1">
      <alignment vertical="center"/>
    </xf>
    <xf numFmtId="0" fontId="56" fillId="6" borderId="46" xfId="0" applyFont="1" applyFill="1" applyBorder="1" applyAlignment="1">
      <alignment vertical="center"/>
    </xf>
    <xf numFmtId="2" fontId="56" fillId="6" borderId="46" xfId="0" applyNumberFormat="1" applyFont="1" applyFill="1" applyBorder="1" applyAlignment="1">
      <alignment vertical="center"/>
    </xf>
    <xf numFmtId="2" fontId="56" fillId="6" borderId="47" xfId="0" applyNumberFormat="1" applyFont="1" applyFill="1" applyBorder="1" applyAlignment="1">
      <alignment vertical="center"/>
    </xf>
    <xf numFmtId="0" fontId="13" fillId="6" borderId="1" xfId="0" applyFont="1" applyFill="1" applyBorder="1" applyAlignment="1">
      <alignment vertical="center"/>
    </xf>
    <xf numFmtId="0" fontId="46" fillId="6" borderId="0" xfId="0" applyFont="1" applyFill="1"/>
    <xf numFmtId="0" fontId="13" fillId="6" borderId="47" xfId="0" applyFont="1" applyFill="1" applyBorder="1" applyAlignment="1">
      <alignment vertical="center"/>
    </xf>
    <xf numFmtId="0" fontId="56" fillId="6" borderId="47" xfId="0" applyFont="1" applyFill="1" applyBorder="1" applyAlignment="1">
      <alignment vertical="center"/>
    </xf>
    <xf numFmtId="0" fontId="33" fillId="6" borderId="1" xfId="0" applyFont="1" applyFill="1" applyBorder="1"/>
    <xf numFmtId="0" fontId="31" fillId="6" borderId="1" xfId="0" applyFont="1" applyFill="1" applyBorder="1" applyAlignment="1">
      <alignment vertical="center" wrapText="1"/>
    </xf>
    <xf numFmtId="0" fontId="28" fillId="6" borderId="1" xfId="0" applyFont="1" applyFill="1" applyBorder="1" applyAlignment="1">
      <alignment vertical="center" wrapText="1"/>
    </xf>
    <xf numFmtId="0" fontId="15" fillId="6" borderId="1" xfId="0" applyFont="1" applyFill="1" applyBorder="1" applyAlignment="1">
      <alignment vertical="center" wrapText="1"/>
    </xf>
    <xf numFmtId="0" fontId="33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3" fillId="6" borderId="21" xfId="0" applyFont="1" applyFill="1" applyBorder="1" applyAlignment="1">
      <alignment vertical="center"/>
    </xf>
    <xf numFmtId="4" fontId="13" fillId="6" borderId="42" xfId="0" applyNumberFormat="1" applyFont="1" applyFill="1" applyBorder="1" applyAlignment="1">
      <alignment vertical="center"/>
    </xf>
    <xf numFmtId="4" fontId="13" fillId="6" borderId="43" xfId="0" applyNumberFormat="1" applyFont="1" applyFill="1" applyBorder="1" applyAlignment="1">
      <alignment vertical="center"/>
    </xf>
    <xf numFmtId="0" fontId="33" fillId="6" borderId="21" xfId="0" applyFont="1" applyFill="1" applyBorder="1"/>
    <xf numFmtId="0" fontId="13" fillId="6" borderId="44" xfId="0" applyFont="1" applyFill="1" applyBorder="1" applyAlignment="1">
      <alignment vertical="center" wrapText="1"/>
    </xf>
    <xf numFmtId="4" fontId="13" fillId="6" borderId="44" xfId="0" applyNumberFormat="1" applyFont="1" applyFill="1" applyBorder="1" applyAlignment="1">
      <alignment vertical="center" wrapText="1"/>
    </xf>
    <xf numFmtId="0" fontId="46" fillId="6" borderId="0" xfId="0" applyFont="1" applyFill="1" applyAlignment="1">
      <alignment wrapText="1"/>
    </xf>
    <xf numFmtId="0" fontId="16" fillId="6" borderId="0" xfId="0" applyFont="1" applyFill="1"/>
    <xf numFmtId="0" fontId="13" fillId="6" borderId="0" xfId="0" applyFont="1" applyFill="1" applyBorder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16" fillId="0" borderId="0" xfId="0" applyFont="1" applyBorder="1"/>
    <xf numFmtId="0" fontId="15" fillId="0" borderId="0" xfId="0" applyFont="1" applyBorder="1" applyAlignment="1">
      <alignment horizontal="righ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11" borderId="0" xfId="0" applyFont="1" applyFill="1"/>
    <xf numFmtId="0" fontId="11" fillId="4" borderId="1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2" fontId="47" fillId="0" borderId="0" xfId="0" applyNumberFormat="1" applyFont="1" applyBorder="1"/>
    <xf numFmtId="0" fontId="16" fillId="12" borderId="1" xfId="0" applyFont="1" applyFill="1" applyBorder="1" applyAlignment="1">
      <alignment horizontal="center"/>
    </xf>
    <xf numFmtId="0" fontId="16" fillId="12" borderId="1" xfId="0" applyFont="1" applyFill="1" applyBorder="1"/>
    <xf numFmtId="0" fontId="5" fillId="0" borderId="0" xfId="0" applyFont="1"/>
    <xf numFmtId="0" fontId="2" fillId="0" borderId="0" xfId="0" applyFont="1"/>
    <xf numFmtId="0" fontId="15" fillId="0" borderId="0" xfId="0" applyFont="1" applyFill="1" applyBorder="1" applyAlignment="1">
      <alignment horizontal="right" vertical="center" wrapText="1"/>
    </xf>
    <xf numFmtId="0" fontId="33" fillId="6" borderId="1" xfId="0" applyFont="1" applyFill="1" applyBorder="1" applyAlignment="1">
      <alignment vertical="center"/>
    </xf>
    <xf numFmtId="0" fontId="33" fillId="6" borderId="1" xfId="0" applyFont="1" applyFill="1" applyBorder="1" applyAlignment="1">
      <alignment wrapText="1"/>
    </xf>
    <xf numFmtId="0" fontId="16" fillId="6" borderId="20" xfId="0" applyFont="1" applyFill="1" applyBorder="1" applyAlignment="1">
      <alignment vertical="center"/>
    </xf>
    <xf numFmtId="165" fontId="13" fillId="6" borderId="46" xfId="0" applyNumberFormat="1" applyFont="1" applyFill="1" applyBorder="1" applyAlignment="1">
      <alignment vertical="center"/>
    </xf>
    <xf numFmtId="167" fontId="11" fillId="6" borderId="17" xfId="0" applyNumberFormat="1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left" vertical="center" wrapText="1"/>
    </xf>
    <xf numFmtId="0" fontId="2" fillId="6" borderId="10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165" fontId="11" fillId="6" borderId="11" xfId="0" applyNumberFormat="1" applyFont="1" applyFill="1" applyBorder="1" applyAlignment="1">
      <alignment horizontal="center"/>
    </xf>
    <xf numFmtId="165" fontId="11" fillId="6" borderId="10" xfId="0" applyNumberFormat="1" applyFont="1" applyFill="1" applyBorder="1" applyAlignment="1">
      <alignment horizontal="center" vertical="center" wrapText="1"/>
    </xf>
    <xf numFmtId="0" fontId="15" fillId="6" borderId="46" xfId="0" applyFont="1" applyFill="1" applyBorder="1" applyAlignment="1">
      <alignment vertical="center"/>
    </xf>
    <xf numFmtId="3" fontId="0" fillId="0" borderId="0" xfId="0" applyNumberFormat="1"/>
    <xf numFmtId="4" fontId="0" fillId="6" borderId="0" xfId="0" applyNumberFormat="1" applyFill="1"/>
    <xf numFmtId="4" fontId="55" fillId="6" borderId="0" xfId="0" applyNumberFormat="1" applyFont="1" applyFill="1"/>
    <xf numFmtId="0" fontId="33" fillId="6" borderId="21" xfId="0" applyFont="1" applyFill="1" applyBorder="1" applyAlignment="1">
      <alignment vertical="center" wrapText="1"/>
    </xf>
    <xf numFmtId="165" fontId="56" fillId="6" borderId="46" xfId="0" applyNumberFormat="1" applyFont="1" applyFill="1" applyBorder="1" applyAlignment="1">
      <alignment vertical="center"/>
    </xf>
    <xf numFmtId="165" fontId="56" fillId="6" borderId="47" xfId="0" applyNumberFormat="1" applyFont="1" applyFill="1" applyBorder="1" applyAlignment="1">
      <alignment vertical="center"/>
    </xf>
    <xf numFmtId="0" fontId="57" fillId="6" borderId="0" xfId="0" applyFont="1" applyFill="1" applyAlignment="1">
      <alignment vertical="center"/>
    </xf>
    <xf numFmtId="0" fontId="45" fillId="6" borderId="0" xfId="0" applyFont="1" applyFill="1"/>
    <xf numFmtId="0" fontId="56" fillId="6" borderId="0" xfId="0" applyFont="1" applyFill="1" applyBorder="1" applyAlignment="1">
      <alignment vertical="center"/>
    </xf>
    <xf numFmtId="0" fontId="0" fillId="6" borderId="0" xfId="0" applyFont="1" applyFill="1"/>
    <xf numFmtId="10" fontId="0" fillId="6" borderId="0" xfId="0" applyNumberFormat="1" applyFill="1"/>
    <xf numFmtId="0" fontId="47" fillId="6" borderId="0" xfId="0" applyFont="1" applyFill="1"/>
    <xf numFmtId="0" fontId="55" fillId="6" borderId="0" xfId="0" applyFont="1" applyFill="1"/>
    <xf numFmtId="0" fontId="16" fillId="6" borderId="0" xfId="0" applyFont="1" applyFill="1" applyBorder="1"/>
    <xf numFmtId="0" fontId="0" fillId="6" borderId="0" xfId="0" applyFill="1" applyBorder="1"/>
    <xf numFmtId="0" fontId="52" fillId="0" borderId="1" xfId="0" applyFont="1" applyBorder="1" applyAlignment="1">
      <alignment horizontal="center" wrapText="1"/>
    </xf>
    <xf numFmtId="0" fontId="52" fillId="0" borderId="1" xfId="0" applyFont="1" applyBorder="1"/>
    <xf numFmtId="0" fontId="3" fillId="6" borderId="1" xfId="0" applyFont="1" applyFill="1" applyBorder="1" applyAlignment="1">
      <alignment horizontal="center" vertical="center" wrapText="1"/>
    </xf>
    <xf numFmtId="2" fontId="3" fillId="6" borderId="1" xfId="0" applyNumberFormat="1" applyFont="1" applyFill="1" applyBorder="1" applyAlignment="1">
      <alignment horizontal="center" vertical="center" wrapText="1"/>
    </xf>
    <xf numFmtId="1" fontId="11" fillId="6" borderId="1" xfId="0" applyNumberFormat="1" applyFont="1" applyFill="1" applyBorder="1" applyAlignment="1">
      <alignment horizontal="center" vertical="center" wrapText="1"/>
    </xf>
    <xf numFmtId="1" fontId="11" fillId="6" borderId="1" xfId="0" applyNumberFormat="1" applyFont="1" applyFill="1" applyBorder="1" applyAlignment="1">
      <alignment horizontal="left" vertical="center" wrapText="1"/>
    </xf>
    <xf numFmtId="0" fontId="11" fillId="6" borderId="1" xfId="0" applyFont="1" applyFill="1" applyBorder="1"/>
    <xf numFmtId="0" fontId="49" fillId="6" borderId="20" xfId="0" applyFont="1" applyFill="1" applyBorder="1" applyAlignment="1">
      <alignment horizontal="center" wrapText="1"/>
    </xf>
    <xf numFmtId="0" fontId="50" fillId="6" borderId="1" xfId="0" applyFont="1" applyFill="1" applyBorder="1" applyAlignment="1">
      <alignment horizontal="center"/>
    </xf>
    <xf numFmtId="1" fontId="11" fillId="6" borderId="1" xfId="0" applyNumberFormat="1" applyFont="1" applyFill="1" applyBorder="1"/>
    <xf numFmtId="0" fontId="46" fillId="6" borderId="1" xfId="0" applyFont="1" applyFill="1" applyBorder="1"/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34" fillId="6" borderId="0" xfId="0" applyFont="1" applyFill="1" applyBorder="1" applyAlignment="1">
      <alignment vertical="center" wrapText="1"/>
    </xf>
    <xf numFmtId="0" fontId="11" fillId="6" borderId="0" xfId="0" applyFont="1" applyFill="1" applyBorder="1" applyAlignment="1">
      <alignment horizontal="left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11" fillId="6" borderId="12" xfId="0" applyFont="1" applyFill="1" applyBorder="1"/>
    <xf numFmtId="0" fontId="0" fillId="6" borderId="12" xfId="0" applyFont="1" applyFill="1" applyBorder="1"/>
    <xf numFmtId="4" fontId="0" fillId="6" borderId="0" xfId="0" applyNumberFormat="1" applyFont="1" applyFill="1"/>
    <xf numFmtId="2" fontId="65" fillId="0" borderId="0" xfId="0" applyNumberFormat="1" applyFont="1" applyBorder="1"/>
    <xf numFmtId="0" fontId="0" fillId="6" borderId="39" xfId="0" applyFont="1" applyFill="1" applyBorder="1"/>
    <xf numFmtId="0" fontId="54" fillId="6" borderId="0" xfId="0" applyFont="1" applyFill="1" applyBorder="1"/>
    <xf numFmtId="0" fontId="61" fillId="6" borderId="0" xfId="0" applyFont="1" applyFill="1" applyBorder="1"/>
    <xf numFmtId="0" fontId="55" fillId="6" borderId="0" xfId="0" applyFont="1" applyFill="1" applyBorder="1"/>
    <xf numFmtId="0" fontId="55" fillId="6" borderId="0" xfId="0" applyFont="1" applyFill="1" applyBorder="1" applyAlignment="1">
      <alignment wrapText="1"/>
    </xf>
    <xf numFmtId="0" fontId="55" fillId="6" borderId="0" xfId="0" applyFont="1" applyFill="1" applyBorder="1" applyAlignment="1">
      <alignment horizontal="right"/>
    </xf>
    <xf numFmtId="0" fontId="62" fillId="6" borderId="0" xfId="0" applyFont="1" applyFill="1" applyBorder="1" applyAlignment="1">
      <alignment vertical="center" wrapText="1"/>
    </xf>
    <xf numFmtId="0" fontId="54" fillId="6" borderId="0" xfId="0" applyFont="1" applyFill="1" applyBorder="1" applyAlignment="1">
      <alignment horizontal="left" vertical="center" wrapText="1"/>
    </xf>
    <xf numFmtId="2" fontId="55" fillId="6" borderId="0" xfId="0" applyNumberFormat="1" applyFont="1" applyFill="1" applyBorder="1"/>
    <xf numFmtId="1" fontId="55" fillId="6" borderId="0" xfId="0" applyNumberFormat="1" applyFont="1" applyFill="1" applyBorder="1"/>
    <xf numFmtId="3" fontId="55" fillId="6" borderId="0" xfId="0" applyNumberFormat="1" applyFont="1" applyFill="1" applyBorder="1"/>
    <xf numFmtId="0" fontId="63" fillId="6" borderId="0" xfId="0" applyFont="1" applyFill="1" applyBorder="1" applyAlignment="1">
      <alignment horizontal="center" vertical="center" wrapText="1"/>
    </xf>
    <xf numFmtId="4" fontId="55" fillId="6" borderId="0" xfId="0" applyNumberFormat="1" applyFont="1" applyFill="1" applyBorder="1"/>
    <xf numFmtId="0" fontId="62" fillId="0" borderId="0" xfId="0" applyFont="1" applyFill="1" applyBorder="1" applyAlignment="1">
      <alignment vertical="center" wrapText="1"/>
    </xf>
    <xf numFmtId="0" fontId="54" fillId="0" borderId="0" xfId="0" applyFont="1" applyFill="1" applyBorder="1" applyAlignment="1">
      <alignment horizontal="left" vertical="center" wrapText="1"/>
    </xf>
    <xf numFmtId="2" fontId="55" fillId="9" borderId="0" xfId="0" applyNumberFormat="1" applyFont="1" applyFill="1" applyBorder="1"/>
    <xf numFmtId="1" fontId="55" fillId="0" borderId="0" xfId="0" applyNumberFormat="1" applyFont="1" applyFill="1" applyBorder="1"/>
    <xf numFmtId="1" fontId="55" fillId="7" borderId="0" xfId="0" applyNumberFormat="1" applyFont="1" applyFill="1" applyBorder="1"/>
    <xf numFmtId="3" fontId="55" fillId="0" borderId="0" xfId="0" applyNumberFormat="1" applyFont="1" applyBorder="1"/>
    <xf numFmtId="0" fontId="55" fillId="0" borderId="0" xfId="0" applyFont="1" applyBorder="1"/>
    <xf numFmtId="0" fontId="63" fillId="0" borderId="0" xfId="0" applyFont="1" applyFill="1" applyBorder="1" applyAlignment="1">
      <alignment horizontal="center" vertical="center" wrapText="1"/>
    </xf>
    <xf numFmtId="4" fontId="55" fillId="0" borderId="0" xfId="0" applyNumberFormat="1" applyFont="1" applyFill="1" applyBorder="1"/>
    <xf numFmtId="4" fontId="55" fillId="0" borderId="0" xfId="0" applyNumberFormat="1" applyFont="1" applyBorder="1"/>
    <xf numFmtId="0" fontId="64" fillId="0" borderId="0" xfId="0" applyFont="1" applyFill="1" applyBorder="1" applyAlignment="1">
      <alignment horizontal="left" vertical="center" wrapText="1"/>
    </xf>
    <xf numFmtId="0" fontId="55" fillId="0" borderId="0" xfId="0" applyFont="1" applyFill="1" applyBorder="1"/>
    <xf numFmtId="0" fontId="63" fillId="0" borderId="0" xfId="0" applyFont="1" applyFill="1" applyBorder="1" applyAlignment="1">
      <alignment horizontal="left" vertical="center" wrapText="1"/>
    </xf>
    <xf numFmtId="0" fontId="65" fillId="0" borderId="0" xfId="0" applyFont="1" applyFill="1" applyBorder="1"/>
    <xf numFmtId="2" fontId="63" fillId="7" borderId="0" xfId="0" applyNumberFormat="1" applyFont="1" applyFill="1" applyBorder="1" applyAlignment="1">
      <alignment horizontal="center" vertical="center" wrapText="1"/>
    </xf>
    <xf numFmtId="10" fontId="55" fillId="0" borderId="0" xfId="0" applyNumberFormat="1" applyFont="1" applyBorder="1"/>
    <xf numFmtId="0" fontId="22" fillId="6" borderId="4" xfId="0" applyFont="1" applyFill="1" applyBorder="1"/>
    <xf numFmtId="0" fontId="19" fillId="6" borderId="4" xfId="0" applyFont="1" applyFill="1" applyBorder="1" applyAlignment="1">
      <alignment horizontal="center"/>
    </xf>
    <xf numFmtId="10" fontId="53" fillId="6" borderId="4" xfId="0" applyNumberFormat="1" applyFont="1" applyFill="1" applyBorder="1" applyAlignment="1">
      <alignment horizontal="center"/>
    </xf>
    <xf numFmtId="0" fontId="19" fillId="6" borderId="4" xfId="0" applyFont="1" applyFill="1" applyBorder="1" applyAlignment="1">
      <alignment horizontal="center" vertical="center"/>
    </xf>
    <xf numFmtId="0" fontId="19" fillId="6" borderId="4" xfId="0" applyFont="1" applyFill="1" applyBorder="1"/>
    <xf numFmtId="2" fontId="19" fillId="6" borderId="4" xfId="0" applyNumberFormat="1" applyFont="1" applyFill="1" applyBorder="1"/>
    <xf numFmtId="0" fontId="19" fillId="6" borderId="37" xfId="0" applyFont="1" applyFill="1" applyBorder="1" applyAlignment="1">
      <alignment horizontal="center"/>
    </xf>
    <xf numFmtId="0" fontId="19" fillId="6" borderId="19" xfId="0" applyFont="1" applyFill="1" applyBorder="1" applyAlignment="1">
      <alignment horizontal="center"/>
    </xf>
    <xf numFmtId="0" fontId="19" fillId="6" borderId="15" xfId="0" applyFont="1" applyFill="1" applyBorder="1" applyAlignment="1">
      <alignment horizontal="center" vertical="center"/>
    </xf>
    <xf numFmtId="0" fontId="19" fillId="6" borderId="5" xfId="0" applyFont="1" applyFill="1" applyBorder="1" applyAlignment="1">
      <alignment horizontal="center"/>
    </xf>
    <xf numFmtId="0" fontId="0" fillId="6" borderId="38" xfId="0" applyFill="1" applyBorder="1"/>
    <xf numFmtId="0" fontId="19" fillId="6" borderId="5" xfId="0" applyFont="1" applyFill="1" applyBorder="1" applyAlignment="1">
      <alignment horizontal="center" vertical="center" wrapText="1"/>
    </xf>
    <xf numFmtId="0" fontId="22" fillId="6" borderId="5" xfId="0" applyFont="1" applyFill="1" applyBorder="1"/>
    <xf numFmtId="2" fontId="21" fillId="6" borderId="4" xfId="0" applyNumberFormat="1" applyFont="1" applyFill="1" applyBorder="1"/>
    <xf numFmtId="0" fontId="22" fillId="6" borderId="3" xfId="0" applyFont="1" applyFill="1" applyBorder="1"/>
    <xf numFmtId="2" fontId="22" fillId="6" borderId="3" xfId="0" applyNumberFormat="1" applyFont="1" applyFill="1" applyBorder="1"/>
    <xf numFmtId="0" fontId="22" fillId="6" borderId="19" xfId="0" applyFont="1" applyFill="1" applyBorder="1"/>
    <xf numFmtId="0" fontId="19" fillId="6" borderId="3" xfId="0" applyFont="1" applyFill="1" applyBorder="1" applyAlignment="1">
      <alignment horizontal="center" vertical="center"/>
    </xf>
    <xf numFmtId="0" fontId="19" fillId="6" borderId="5" xfId="0" applyFont="1" applyFill="1" applyBorder="1" applyAlignment="1">
      <alignment horizontal="center" vertical="center"/>
    </xf>
    <xf numFmtId="2" fontId="44" fillId="6" borderId="3" xfId="0" applyNumberFormat="1" applyFont="1" applyFill="1" applyBorder="1"/>
    <xf numFmtId="0" fontId="19" fillId="6" borderId="19" xfId="0" applyFont="1" applyFill="1" applyBorder="1" applyAlignment="1">
      <alignment horizontal="center" vertical="center" wrapText="1"/>
    </xf>
    <xf numFmtId="0" fontId="66" fillId="0" borderId="0" xfId="0" applyFont="1"/>
    <xf numFmtId="0" fontId="63" fillId="13" borderId="0" xfId="0" applyFont="1" applyFill="1" applyAlignment="1">
      <alignment wrapText="1"/>
    </xf>
    <xf numFmtId="10" fontId="67" fillId="13" borderId="0" xfId="0" applyNumberFormat="1" applyFont="1" applyFill="1"/>
    <xf numFmtId="9" fontId="67" fillId="13" borderId="0" xfId="0" applyNumberFormat="1" applyFont="1" applyFill="1"/>
    <xf numFmtId="0" fontId="68" fillId="0" borderId="0" xfId="0" applyFont="1"/>
    <xf numFmtId="0" fontId="66" fillId="15" borderId="0" xfId="0" applyFont="1" applyFill="1" applyAlignment="1">
      <alignment wrapText="1"/>
    </xf>
    <xf numFmtId="10" fontId="68" fillId="15" borderId="0" xfId="0" applyNumberFormat="1" applyFont="1" applyFill="1"/>
    <xf numFmtId="0" fontId="68" fillId="8" borderId="0" xfId="0" applyFont="1" applyFill="1"/>
    <xf numFmtId="0" fontId="55" fillId="8" borderId="0" xfId="0" applyFont="1" applyFill="1"/>
    <xf numFmtId="0" fontId="66" fillId="16" borderId="0" xfId="0" applyFont="1" applyFill="1" applyAlignment="1">
      <alignment wrapText="1"/>
    </xf>
    <xf numFmtId="10" fontId="68" fillId="16" borderId="0" xfId="0" applyNumberFormat="1" applyFont="1" applyFill="1"/>
    <xf numFmtId="0" fontId="3" fillId="6" borderId="1" xfId="0" applyFont="1" applyFill="1" applyBorder="1" applyAlignment="1">
      <alignment horizontal="left" vertical="center" wrapText="1"/>
    </xf>
    <xf numFmtId="0" fontId="28" fillId="6" borderId="1" xfId="0" applyFont="1" applyFill="1" applyBorder="1" applyAlignment="1">
      <alignment horizontal="left" vertical="center" wrapText="1"/>
    </xf>
    <xf numFmtId="4" fontId="15" fillId="6" borderId="1" xfId="0" applyNumberFormat="1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4" fontId="28" fillId="6" borderId="1" xfId="0" applyNumberFormat="1" applyFont="1" applyFill="1" applyBorder="1" applyAlignment="1">
      <alignment vertical="center"/>
    </xf>
    <xf numFmtId="2" fontId="28" fillId="6" borderId="1" xfId="0" applyNumberFormat="1" applyFont="1" applyFill="1" applyBorder="1" applyAlignment="1">
      <alignment vertical="center"/>
    </xf>
    <xf numFmtId="4" fontId="15" fillId="6" borderId="1" xfId="0" applyNumberFormat="1" applyFont="1" applyFill="1" applyBorder="1" applyAlignment="1">
      <alignment vertical="center"/>
    </xf>
    <xf numFmtId="0" fontId="29" fillId="6" borderId="20" xfId="0" applyFont="1" applyFill="1" applyBorder="1" applyAlignment="1">
      <alignment vertical="center" wrapText="1"/>
    </xf>
    <xf numFmtId="0" fontId="15" fillId="6" borderId="20" xfId="0" applyFont="1" applyFill="1" applyBorder="1" applyAlignment="1">
      <alignment vertical="center" wrapText="1"/>
    </xf>
    <xf numFmtId="0" fontId="13" fillId="6" borderId="44" xfId="0" applyFont="1" applyFill="1" applyBorder="1" applyAlignment="1">
      <alignment vertical="center"/>
    </xf>
    <xf numFmtId="4" fontId="13" fillId="6" borderId="44" xfId="0" applyNumberFormat="1" applyFont="1" applyFill="1" applyBorder="1" applyAlignment="1">
      <alignment vertical="center"/>
    </xf>
    <xf numFmtId="0" fontId="56" fillId="6" borderId="44" xfId="0" applyFont="1" applyFill="1" applyBorder="1" applyAlignment="1">
      <alignment vertical="center"/>
    </xf>
    <xf numFmtId="0" fontId="56" fillId="6" borderId="45" xfId="0" applyFont="1" applyFill="1" applyBorder="1" applyAlignment="1">
      <alignment vertical="center"/>
    </xf>
    <xf numFmtId="0" fontId="56" fillId="6" borderId="42" xfId="0" applyFont="1" applyFill="1" applyBorder="1" applyAlignment="1">
      <alignment vertical="center"/>
    </xf>
    <xf numFmtId="0" fontId="56" fillId="6" borderId="43" xfId="0" applyFont="1" applyFill="1" applyBorder="1" applyAlignment="1">
      <alignment vertical="center"/>
    </xf>
    <xf numFmtId="0" fontId="15" fillId="6" borderId="1" xfId="0" applyFont="1" applyFill="1" applyBorder="1" applyAlignment="1">
      <alignment vertical="center"/>
    </xf>
    <xf numFmtId="0" fontId="28" fillId="6" borderId="1" xfId="0" applyFont="1" applyFill="1" applyBorder="1" applyAlignment="1">
      <alignment vertical="center"/>
    </xf>
    <xf numFmtId="2" fontId="15" fillId="6" borderId="1" xfId="0" applyNumberFormat="1" applyFont="1" applyFill="1" applyBorder="1" applyAlignment="1">
      <alignment vertical="center"/>
    </xf>
    <xf numFmtId="0" fontId="33" fillId="6" borderId="20" xfId="0" applyFont="1" applyFill="1" applyBorder="1" applyAlignment="1">
      <alignment vertical="center" wrapText="1"/>
    </xf>
    <xf numFmtId="0" fontId="13" fillId="6" borderId="20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2" fontId="13" fillId="6" borderId="47" xfId="0" applyNumberFormat="1" applyFont="1" applyFill="1" applyBorder="1" applyAlignment="1">
      <alignment vertical="center"/>
    </xf>
    <xf numFmtId="165" fontId="13" fillId="6" borderId="47" xfId="0" applyNumberFormat="1" applyFont="1" applyFill="1" applyBorder="1" applyAlignment="1">
      <alignment vertical="center"/>
    </xf>
    <xf numFmtId="0" fontId="16" fillId="6" borderId="20" xfId="0" applyFont="1" applyFill="1" applyBorder="1"/>
    <xf numFmtId="0" fontId="56" fillId="6" borderId="20" xfId="0" applyFont="1" applyFill="1" applyBorder="1" applyAlignment="1">
      <alignment vertical="center"/>
    </xf>
    <xf numFmtId="4" fontId="56" fillId="6" borderId="44" xfId="0" applyNumberFormat="1" applyFont="1" applyFill="1" applyBorder="1" applyAlignment="1">
      <alignment vertical="center"/>
    </xf>
    <xf numFmtId="4" fontId="56" fillId="6" borderId="45" xfId="0" applyNumberFormat="1" applyFont="1" applyFill="1" applyBorder="1" applyAlignment="1">
      <alignment vertical="center"/>
    </xf>
    <xf numFmtId="1" fontId="15" fillId="6" borderId="1" xfId="0" applyNumberFormat="1" applyFont="1" applyFill="1" applyBorder="1" applyAlignment="1">
      <alignment vertical="center"/>
    </xf>
    <xf numFmtId="0" fontId="16" fillId="6" borderId="21" xfId="0" applyFont="1" applyFill="1" applyBorder="1"/>
    <xf numFmtId="0" fontId="56" fillId="6" borderId="21" xfId="0" applyFont="1" applyFill="1" applyBorder="1" applyAlignment="1">
      <alignment vertical="center"/>
    </xf>
    <xf numFmtId="4" fontId="56" fillId="6" borderId="42" xfId="0" applyNumberFormat="1" applyFont="1" applyFill="1" applyBorder="1" applyAlignment="1">
      <alignment vertical="center"/>
    </xf>
    <xf numFmtId="4" fontId="56" fillId="6" borderId="43" xfId="0" applyNumberFormat="1" applyFont="1" applyFill="1" applyBorder="1" applyAlignment="1">
      <alignment vertical="center"/>
    </xf>
    <xf numFmtId="0" fontId="57" fillId="6" borderId="1" xfId="0" applyFont="1" applyFill="1" applyBorder="1" applyAlignment="1">
      <alignment vertical="center"/>
    </xf>
    <xf numFmtId="165" fontId="15" fillId="6" borderId="1" xfId="0" applyNumberFormat="1" applyFont="1" applyFill="1" applyBorder="1" applyAlignment="1">
      <alignment vertical="center"/>
    </xf>
    <xf numFmtId="2" fontId="15" fillId="6" borderId="46" xfId="0" applyNumberFormat="1" applyFont="1" applyFill="1" applyBorder="1" applyAlignment="1">
      <alignment vertical="center"/>
    </xf>
    <xf numFmtId="4" fontId="15" fillId="6" borderId="46" xfId="0" applyNumberFormat="1" applyFont="1" applyFill="1" applyBorder="1" applyAlignment="1">
      <alignment vertical="center"/>
    </xf>
    <xf numFmtId="4" fontId="15" fillId="6" borderId="47" xfId="0" applyNumberFormat="1" applyFont="1" applyFill="1" applyBorder="1" applyAlignment="1">
      <alignment vertical="center"/>
    </xf>
    <xf numFmtId="0" fontId="16" fillId="6" borderId="1" xfId="0" applyFont="1" applyFill="1" applyBorder="1" applyAlignment="1">
      <alignment vertical="center"/>
    </xf>
    <xf numFmtId="0" fontId="56" fillId="6" borderId="1" xfId="0" applyFont="1" applyFill="1" applyBorder="1" applyAlignment="1">
      <alignment vertical="center"/>
    </xf>
    <xf numFmtId="4" fontId="56" fillId="6" borderId="46" xfId="0" applyNumberFormat="1" applyFont="1" applyFill="1" applyBorder="1" applyAlignment="1">
      <alignment vertical="center"/>
    </xf>
    <xf numFmtId="4" fontId="56" fillId="6" borderId="47" xfId="0" applyNumberFormat="1" applyFont="1" applyFill="1" applyBorder="1" applyAlignment="1">
      <alignment vertical="center"/>
    </xf>
    <xf numFmtId="3" fontId="28" fillId="6" borderId="1" xfId="0" applyNumberFormat="1" applyFont="1" applyFill="1" applyBorder="1" applyAlignment="1">
      <alignment vertical="center"/>
    </xf>
    <xf numFmtId="4" fontId="15" fillId="6" borderId="27" xfId="0" applyNumberFormat="1" applyFont="1" applyFill="1" applyBorder="1" applyAlignment="1">
      <alignment vertical="center"/>
    </xf>
    <xf numFmtId="4" fontId="28" fillId="6" borderId="1" xfId="0" applyNumberFormat="1" applyFont="1" applyFill="1" applyBorder="1" applyAlignment="1">
      <alignment horizontal="center" vertical="center"/>
    </xf>
    <xf numFmtId="3" fontId="28" fillId="6" borderId="1" xfId="0" applyNumberFormat="1" applyFont="1" applyFill="1" applyBorder="1" applyAlignment="1">
      <alignment vertical="center" wrapText="1"/>
    </xf>
    <xf numFmtId="4" fontId="28" fillId="6" borderId="1" xfId="0" applyNumberFormat="1" applyFont="1" applyFill="1" applyBorder="1" applyAlignment="1">
      <alignment vertical="center" wrapText="1"/>
    </xf>
    <xf numFmtId="0" fontId="6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/>
    </xf>
    <xf numFmtId="4" fontId="3" fillId="6" borderId="1" xfId="0" applyNumberFormat="1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right" vertical="center" wrapText="1"/>
    </xf>
    <xf numFmtId="0" fontId="5" fillId="6" borderId="17" xfId="0" applyFont="1" applyFill="1" applyBorder="1" applyAlignment="1">
      <alignment horizontal="center" vertical="center"/>
    </xf>
    <xf numFmtId="0" fontId="11" fillId="6" borderId="17" xfId="0" applyFont="1" applyFill="1" applyBorder="1" applyAlignment="1">
      <alignment horizontal="left" vertical="center" wrapText="1"/>
    </xf>
    <xf numFmtId="2" fontId="2" fillId="6" borderId="17" xfId="0" applyNumberFormat="1" applyFont="1" applyFill="1" applyBorder="1" applyAlignment="1">
      <alignment horizontal="left" vertical="center" wrapText="1"/>
    </xf>
    <xf numFmtId="0" fontId="5" fillId="6" borderId="10" xfId="0" applyFont="1" applyFill="1" applyBorder="1" applyAlignment="1">
      <alignment horizontal="left" vertical="center" wrapText="1"/>
    </xf>
    <xf numFmtId="165" fontId="11" fillId="6" borderId="11" xfId="0" applyNumberFormat="1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left" vertical="center"/>
    </xf>
    <xf numFmtId="165" fontId="11" fillId="6" borderId="48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 wrapText="1"/>
    </xf>
    <xf numFmtId="2" fontId="3" fillId="6" borderId="10" xfId="0" applyNumberFormat="1" applyFont="1" applyFill="1" applyBorder="1" applyAlignment="1">
      <alignment horizontal="center" vertical="center" wrapText="1"/>
    </xf>
    <xf numFmtId="164" fontId="3" fillId="6" borderId="41" xfId="0" applyNumberFormat="1" applyFont="1" applyFill="1" applyBorder="1" applyAlignment="1">
      <alignment horizontal="center" vertical="center" wrapText="1"/>
    </xf>
    <xf numFmtId="164" fontId="3" fillId="6" borderId="10" xfId="0" applyNumberFormat="1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left" vertical="center" wrapText="1"/>
    </xf>
    <xf numFmtId="2" fontId="3" fillId="6" borderId="16" xfId="0" applyNumberFormat="1" applyFont="1" applyFill="1" applyBorder="1" applyAlignment="1">
      <alignment horizontal="center" vertical="center" wrapText="1"/>
    </xf>
    <xf numFmtId="0" fontId="25" fillId="6" borderId="17" xfId="0" applyFont="1" applyFill="1" applyBorder="1" applyAlignment="1">
      <alignment horizontal="left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left" vertical="center" wrapText="1"/>
    </xf>
    <xf numFmtId="2" fontId="4" fillId="6" borderId="10" xfId="0" applyNumberFormat="1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5" fillId="6" borderId="10" xfId="0" applyFont="1" applyFill="1" applyBorder="1" applyAlignment="1">
      <alignment horizontal="left" vertical="center" wrapText="1"/>
    </xf>
    <xf numFmtId="49" fontId="10" fillId="6" borderId="10" xfId="0" applyNumberFormat="1" applyFont="1" applyFill="1" applyBorder="1" applyAlignment="1">
      <alignment horizontal="left" vertical="center" wrapText="1"/>
    </xf>
    <xf numFmtId="0" fontId="11" fillId="6" borderId="10" xfId="0" applyFont="1" applyFill="1" applyBorder="1" applyAlignment="1">
      <alignment horizontal="center" vertical="center" wrapText="1"/>
    </xf>
    <xf numFmtId="2" fontId="11" fillId="6" borderId="10" xfId="0" applyNumberFormat="1" applyFont="1" applyFill="1" applyBorder="1" applyAlignment="1">
      <alignment horizontal="center" vertical="center" wrapText="1"/>
    </xf>
    <xf numFmtId="49" fontId="25" fillId="6" borderId="10" xfId="0" applyNumberFormat="1" applyFont="1" applyFill="1" applyBorder="1" applyAlignment="1">
      <alignment horizontal="left" vertical="center" wrapText="1"/>
    </xf>
    <xf numFmtId="0" fontId="11" fillId="6" borderId="18" xfId="0" applyFont="1" applyFill="1" applyBorder="1" applyAlignment="1">
      <alignment horizontal="center" vertical="center" wrapText="1"/>
    </xf>
    <xf numFmtId="2" fontId="11" fillId="6" borderId="18" xfId="0" applyNumberFormat="1" applyFont="1" applyFill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left" vertical="center" wrapText="1"/>
    </xf>
    <xf numFmtId="0" fontId="8" fillId="6" borderId="10" xfId="0" applyFont="1" applyFill="1" applyBorder="1" applyAlignment="1">
      <alignment horizontal="left" vertical="center" wrapText="1"/>
    </xf>
    <xf numFmtId="0" fontId="9" fillId="6" borderId="10" xfId="0" applyFont="1" applyFill="1" applyBorder="1" applyAlignment="1">
      <alignment horizontal="center" vertical="center"/>
    </xf>
    <xf numFmtId="164" fontId="2" fillId="6" borderId="10" xfId="0" applyNumberFormat="1" applyFont="1" applyFill="1" applyBorder="1" applyAlignment="1">
      <alignment horizontal="left" vertical="center" wrapText="1"/>
    </xf>
    <xf numFmtId="165" fontId="11" fillId="6" borderId="10" xfId="0" applyNumberFormat="1" applyFont="1" applyFill="1" applyBorder="1" applyAlignment="1">
      <alignment vertical="center" wrapText="1"/>
    </xf>
    <xf numFmtId="1" fontId="3" fillId="6" borderId="10" xfId="0" applyNumberFormat="1" applyFont="1" applyFill="1" applyBorder="1" applyAlignment="1">
      <alignment horizontal="center" vertical="center" wrapText="1"/>
    </xf>
    <xf numFmtId="0" fontId="34" fillId="6" borderId="10" xfId="0" applyFont="1" applyFill="1" applyBorder="1" applyAlignment="1">
      <alignment horizontal="left" vertical="center" wrapText="1"/>
    </xf>
    <xf numFmtId="1" fontId="11" fillId="6" borderId="10" xfId="0" applyNumberFormat="1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165" fontId="3" fillId="6" borderId="16" xfId="0" applyNumberFormat="1" applyFont="1" applyFill="1" applyBorder="1" applyAlignment="1">
      <alignment horizontal="center" vertical="center" wrapText="1"/>
    </xf>
    <xf numFmtId="164" fontId="3" fillId="6" borderId="16" xfId="0" applyNumberFormat="1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left" vertical="center" wrapText="1"/>
    </xf>
    <xf numFmtId="165" fontId="3" fillId="6" borderId="17" xfId="0" applyNumberFormat="1" applyFont="1" applyFill="1" applyBorder="1" applyAlignment="1">
      <alignment horizontal="center" vertical="center" wrapText="1"/>
    </xf>
    <xf numFmtId="164" fontId="3" fillId="6" borderId="17" xfId="0" applyNumberFormat="1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left" vertical="center" wrapText="1"/>
    </xf>
    <xf numFmtId="164" fontId="11" fillId="6" borderId="10" xfId="0" applyNumberFormat="1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left" wrapText="1"/>
    </xf>
    <xf numFmtId="0" fontId="48" fillId="6" borderId="10" xfId="0" applyFont="1" applyFill="1" applyBorder="1" applyAlignment="1">
      <alignment horizontal="center" vertical="center" wrapText="1"/>
    </xf>
    <xf numFmtId="165" fontId="48" fillId="6" borderId="10" xfId="0" applyNumberFormat="1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left"/>
    </xf>
    <xf numFmtId="0" fontId="7" fillId="6" borderId="10" xfId="0" applyFont="1" applyFill="1" applyBorder="1" applyAlignment="1">
      <alignment horizontal="left" wrapText="1"/>
    </xf>
    <xf numFmtId="165" fontId="7" fillId="6" borderId="10" xfId="0" applyNumberFormat="1" applyFont="1" applyFill="1" applyBorder="1" applyAlignment="1">
      <alignment horizontal="center" vertical="center" wrapText="1"/>
    </xf>
    <xf numFmtId="165" fontId="60" fillId="6" borderId="10" xfId="0" applyNumberFormat="1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right" wrapText="1"/>
    </xf>
    <xf numFmtId="164" fontId="11" fillId="6" borderId="40" xfId="0" applyNumberFormat="1" applyFont="1" applyFill="1" applyBorder="1" applyAlignment="1">
      <alignment horizontal="center" vertical="center" wrapText="1"/>
    </xf>
    <xf numFmtId="165" fontId="11" fillId="6" borderId="12" xfId="0" applyNumberFormat="1" applyFont="1" applyFill="1" applyBorder="1" applyAlignment="1">
      <alignment horizontal="center"/>
    </xf>
    <xf numFmtId="165" fontId="11" fillId="6" borderId="16" xfId="0" applyNumberFormat="1" applyFont="1" applyFill="1" applyBorder="1" applyAlignment="1">
      <alignment horizontal="center"/>
    </xf>
    <xf numFmtId="0" fontId="11" fillId="6" borderId="12" xfId="0" applyFont="1" applyFill="1" applyBorder="1" applyAlignment="1">
      <alignment horizontal="center"/>
    </xf>
    <xf numFmtId="0" fontId="11" fillId="6" borderId="17" xfId="0" applyFont="1" applyFill="1" applyBorder="1" applyAlignment="1">
      <alignment horizontal="center"/>
    </xf>
    <xf numFmtId="0" fontId="7" fillId="6" borderId="10" xfId="0" applyFont="1" applyFill="1" applyBorder="1" applyAlignment="1">
      <alignment horizontal="center" vertical="center" wrapText="1"/>
    </xf>
    <xf numFmtId="165" fontId="7" fillId="6" borderId="40" xfId="0" applyNumberFormat="1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justify" wrapText="1"/>
    </xf>
    <xf numFmtId="0" fontId="5" fillId="6" borderId="10" xfId="0" applyFont="1" applyFill="1" applyBorder="1" applyAlignment="1">
      <alignment horizontal="justify" vertical="center" wrapText="1"/>
    </xf>
    <xf numFmtId="1" fontId="48" fillId="6" borderId="10" xfId="0" applyNumberFormat="1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justify"/>
    </xf>
    <xf numFmtId="0" fontId="11" fillId="6" borderId="22" xfId="0" applyFont="1" applyFill="1" applyBorder="1" applyAlignment="1">
      <alignment horizontal="center" vertical="center" wrapText="1"/>
    </xf>
    <xf numFmtId="167" fontId="11" fillId="6" borderId="11" xfId="0" applyNumberFormat="1" applyFont="1" applyFill="1" applyBorder="1" applyAlignment="1">
      <alignment horizontal="center" vertical="center" wrapText="1"/>
    </xf>
    <xf numFmtId="168" fontId="11" fillId="6" borderId="10" xfId="1" applyNumberFormat="1" applyFont="1" applyFill="1" applyBorder="1" applyAlignment="1">
      <alignment horizontal="left" vertical="center" wrapText="1"/>
    </xf>
    <xf numFmtId="168" fontId="11" fillId="6" borderId="10" xfId="1" applyNumberFormat="1" applyFont="1" applyFill="1" applyBorder="1" applyAlignment="1">
      <alignment horizontal="center" vertical="center" wrapText="1"/>
    </xf>
    <xf numFmtId="168" fontId="11" fillId="6" borderId="10" xfId="0" applyNumberFormat="1" applyFont="1" applyFill="1" applyBorder="1" applyAlignment="1">
      <alignment horizontal="left" vertical="center" wrapText="1"/>
    </xf>
    <xf numFmtId="170" fontId="11" fillId="6" borderId="10" xfId="0" applyNumberFormat="1" applyFont="1" applyFill="1" applyBorder="1" applyAlignment="1">
      <alignment horizontal="left" vertical="center" wrapText="1"/>
    </xf>
    <xf numFmtId="4" fontId="3" fillId="6" borderId="10" xfId="0" applyNumberFormat="1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vertical="center" wrapText="1"/>
    </xf>
    <xf numFmtId="164" fontId="11" fillId="6" borderId="10" xfId="0" applyNumberFormat="1" applyFont="1" applyFill="1" applyBorder="1" applyAlignment="1">
      <alignment horizontal="left" vertical="center" wrapText="1"/>
    </xf>
    <xf numFmtId="169" fontId="11" fillId="6" borderId="10" xfId="1" applyNumberFormat="1" applyFont="1" applyFill="1" applyBorder="1" applyAlignment="1">
      <alignment vertical="center" wrapText="1"/>
    </xf>
    <xf numFmtId="0" fontId="6" fillId="6" borderId="16" xfId="0" applyFont="1" applyFill="1" applyBorder="1" applyAlignment="1">
      <alignment horizontal="justify" vertical="center" wrapText="1"/>
    </xf>
    <xf numFmtId="166" fontId="11" fillId="6" borderId="24" xfId="0" applyNumberFormat="1" applyFont="1" applyFill="1" applyBorder="1" applyAlignment="1">
      <alignment horizontal="center" vertical="center" wrapText="1"/>
    </xf>
    <xf numFmtId="166" fontId="11" fillId="6" borderId="17" xfId="0" applyNumberFormat="1" applyFont="1" applyFill="1" applyBorder="1" applyAlignment="1">
      <alignment horizontal="center" vertical="center" wrapText="1"/>
    </xf>
    <xf numFmtId="166" fontId="3" fillId="6" borderId="10" xfId="0" applyNumberFormat="1" applyFont="1" applyFill="1" applyBorder="1" applyAlignment="1">
      <alignment horizontal="center" vertical="center" wrapText="1"/>
    </xf>
    <xf numFmtId="166" fontId="11" fillId="6" borderId="10" xfId="0" applyNumberFormat="1" applyFont="1" applyFill="1" applyBorder="1" applyAlignment="1">
      <alignment horizontal="center" vertical="center" wrapText="1"/>
    </xf>
    <xf numFmtId="166" fontId="11" fillId="6" borderId="16" xfId="0" applyNumberFormat="1" applyFont="1" applyFill="1" applyBorder="1" applyAlignment="1">
      <alignment horizontal="center" vertical="center" wrapText="1"/>
    </xf>
    <xf numFmtId="166" fontId="11" fillId="6" borderId="25" xfId="0" applyNumberFormat="1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39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26" fillId="0" borderId="0" xfId="0" applyFont="1" applyFill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30" fillId="0" borderId="0" xfId="0" applyFont="1" applyFill="1" applyBorder="1" applyAlignment="1">
      <alignment horizontal="center"/>
    </xf>
    <xf numFmtId="0" fontId="15" fillId="0" borderId="0" xfId="0" applyFont="1" applyBorder="1" applyAlignment="1">
      <alignment horizontal="right" vertical="center" wrapText="1"/>
    </xf>
    <xf numFmtId="0" fontId="0" fillId="0" borderId="0" xfId="0" applyBorder="1" applyAlignment="1"/>
    <xf numFmtId="0" fontId="16" fillId="4" borderId="1" xfId="0" applyFont="1" applyFill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28" fillId="4" borderId="1" xfId="0" applyFont="1" applyFill="1" applyBorder="1" applyAlignment="1">
      <alignment horizontal="center" vertical="center" wrapText="1"/>
    </xf>
    <xf numFmtId="0" fontId="28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13" fillId="4" borderId="23" xfId="0" applyFont="1" applyFill="1" applyBorder="1" applyAlignment="1">
      <alignment horizontal="center" vertical="center" wrapText="1"/>
    </xf>
    <xf numFmtId="0" fontId="13" fillId="4" borderId="26" xfId="0" applyFont="1" applyFill="1" applyBorder="1" applyAlignment="1">
      <alignment horizontal="center" vertical="center" wrapText="1"/>
    </xf>
    <xf numFmtId="0" fontId="13" fillId="4" borderId="27" xfId="0" applyFont="1" applyFill="1" applyBorder="1" applyAlignment="1">
      <alignment horizontal="center" vertical="center" wrapText="1"/>
    </xf>
    <xf numFmtId="2" fontId="28" fillId="0" borderId="0" xfId="0" applyNumberFormat="1" applyFont="1" applyBorder="1" applyAlignment="1">
      <alignment wrapText="1"/>
    </xf>
    <xf numFmtId="0" fontId="32" fillId="0" borderId="0" xfId="0" applyFont="1" applyFill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4" borderId="23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/>
    </xf>
    <xf numFmtId="0" fontId="19" fillId="4" borderId="27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9" fillId="4" borderId="0" xfId="0" applyFont="1" applyFill="1" applyBorder="1" applyAlignment="1">
      <alignment horizontal="center" vertical="center" wrapText="1"/>
    </xf>
    <xf numFmtId="0" fontId="19" fillId="0" borderId="7" xfId="0" applyFont="1" applyFill="1" applyBorder="1"/>
    <xf numFmtId="0" fontId="19" fillId="0" borderId="0" xfId="0" applyFont="1" applyFill="1" applyBorder="1"/>
    <xf numFmtId="0" fontId="21" fillId="0" borderId="29" xfId="0" applyFont="1" applyBorder="1" applyAlignment="1">
      <alignment vertical="center" wrapText="1"/>
    </xf>
    <xf numFmtId="0" fontId="19" fillId="4" borderId="13" xfId="0" applyFont="1" applyFill="1" applyBorder="1" applyAlignment="1">
      <alignment horizontal="center" vertical="center" wrapText="1"/>
    </xf>
    <xf numFmtId="0" fontId="20" fillId="5" borderId="30" xfId="0" applyFont="1" applyFill="1" applyBorder="1" applyAlignment="1">
      <alignment horizontal="center"/>
    </xf>
    <xf numFmtId="0" fontId="20" fillId="5" borderId="29" xfId="0" applyFont="1" applyFill="1" applyBorder="1" applyAlignment="1">
      <alignment horizontal="center"/>
    </xf>
    <xf numFmtId="0" fontId="20" fillId="4" borderId="36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horizontal="center" vertical="center" wrapText="1"/>
    </xf>
    <xf numFmtId="0" fontId="20" fillId="4" borderId="36" xfId="0" applyFont="1" applyFill="1" applyBorder="1" applyAlignment="1">
      <alignment horizontal="center" vertical="justify" wrapText="1"/>
    </xf>
    <xf numFmtId="0" fontId="20" fillId="4" borderId="0" xfId="0" applyFont="1" applyFill="1" applyBorder="1" applyAlignment="1">
      <alignment horizontal="center" vertical="justify" wrapText="1"/>
    </xf>
    <xf numFmtId="0" fontId="20" fillId="4" borderId="30" xfId="0" applyFont="1" applyFill="1" applyBorder="1" applyAlignment="1">
      <alignment horizontal="center" wrapText="1"/>
    </xf>
    <xf numFmtId="0" fontId="20" fillId="4" borderId="29" xfId="0" applyFont="1" applyFill="1" applyBorder="1" applyAlignment="1">
      <alignment horizont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8" xfId="0" applyFont="1" applyFill="1" applyBorder="1" applyAlignment="1">
      <alignment horizontal="center" vertical="center" wrapText="1"/>
    </xf>
    <xf numFmtId="0" fontId="11" fillId="4" borderId="31" xfId="0" applyFont="1" applyFill="1" applyBorder="1" applyAlignment="1">
      <alignment horizontal="center" vertical="center" wrapText="1"/>
    </xf>
    <xf numFmtId="0" fontId="11" fillId="4" borderId="32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 vertical="center"/>
    </xf>
    <xf numFmtId="0" fontId="11" fillId="4" borderId="29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54" fillId="0" borderId="23" xfId="0" applyFont="1" applyBorder="1" applyAlignment="1">
      <alignment horizontal="center" vertical="center" wrapText="1"/>
    </xf>
    <xf numFmtId="0" fontId="54" fillId="0" borderId="27" xfId="0" applyFont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45" fillId="0" borderId="0" xfId="0" applyFont="1" applyAlignment="1">
      <alignment wrapText="1"/>
    </xf>
    <xf numFmtId="0" fontId="3" fillId="6" borderId="0" xfId="0" applyFont="1" applyFill="1" applyBorder="1" applyAlignment="1">
      <alignment horizontal="left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28" fillId="10" borderId="1" xfId="0" applyFont="1" applyFill="1" applyBorder="1" applyAlignment="1">
      <alignment horizontal="left" vertical="center"/>
    </xf>
    <xf numFmtId="0" fontId="16" fillId="3" borderId="1" xfId="0" applyFont="1" applyFill="1" applyBorder="1" applyAlignment="1">
      <alignment horizontal="center" vertical="center" wrapText="1"/>
    </xf>
    <xf numFmtId="0" fontId="33" fillId="0" borderId="1" xfId="0" applyFont="1" applyBorder="1"/>
    <xf numFmtId="0" fontId="16" fillId="0" borderId="12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 wrapText="1"/>
    </xf>
    <xf numFmtId="0" fontId="16" fillId="6" borderId="12" xfId="0" applyFont="1" applyFill="1" applyBorder="1" applyAlignment="1">
      <alignment horizontal="center" vertical="center" wrapText="1"/>
    </xf>
    <xf numFmtId="0" fontId="16" fillId="6" borderId="20" xfId="0" applyFont="1" applyFill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 wrapText="1"/>
    </xf>
    <xf numFmtId="0" fontId="42" fillId="0" borderId="12" xfId="0" applyFont="1" applyBorder="1" applyAlignment="1">
      <alignment horizontal="center" vertical="center" wrapText="1"/>
    </xf>
    <xf numFmtId="0" fontId="42" fillId="0" borderId="20" xfId="0" applyFont="1" applyBorder="1" applyAlignment="1">
      <alignment horizontal="center" vertical="center" wrapText="1"/>
    </xf>
    <xf numFmtId="0" fontId="16" fillId="0" borderId="1" xfId="0" applyFont="1" applyBorder="1" applyAlignment="1"/>
    <xf numFmtId="0" fontId="42" fillId="0" borderId="1" xfId="0" applyFont="1" applyBorder="1" applyAlignment="1"/>
    <xf numFmtId="0" fontId="42" fillId="0" borderId="23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left"/>
    </xf>
    <xf numFmtId="0" fontId="42" fillId="6" borderId="21" xfId="0" applyFont="1" applyFill="1" applyBorder="1" applyAlignment="1">
      <alignment horizontal="center" vertical="center" wrapText="1"/>
    </xf>
    <xf numFmtId="0" fontId="42" fillId="6" borderId="12" xfId="0" applyFont="1" applyFill="1" applyBorder="1" applyAlignment="1">
      <alignment horizontal="center" vertical="center" wrapText="1"/>
    </xf>
    <xf numFmtId="0" fontId="42" fillId="6" borderId="20" xfId="0" applyFont="1" applyFill="1" applyBorder="1" applyAlignment="1">
      <alignment horizontal="center" vertical="center" wrapText="1"/>
    </xf>
    <xf numFmtId="0" fontId="42" fillId="0" borderId="21" xfId="0" applyFont="1" applyFill="1" applyBorder="1" applyAlignment="1">
      <alignment horizontal="center" vertical="center" wrapText="1"/>
    </xf>
    <xf numFmtId="0" fontId="42" fillId="0" borderId="12" xfId="0" applyFont="1" applyFill="1" applyBorder="1" applyAlignment="1">
      <alignment horizontal="center" vertical="center" wrapText="1"/>
    </xf>
    <xf numFmtId="0" fontId="42" fillId="0" borderId="20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42" fillId="0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42" fillId="6" borderId="1" xfId="0" applyFont="1" applyFill="1" applyBorder="1" applyAlignment="1">
      <alignment horizontal="center" vertical="center"/>
    </xf>
    <xf numFmtId="0" fontId="42" fillId="6" borderId="1" xfId="0" applyFont="1" applyFill="1" applyBorder="1" applyAlignment="1">
      <alignment horizontal="center" vertical="center" wrapText="1"/>
    </xf>
    <xf numFmtId="0" fontId="16" fillId="0" borderId="21" xfId="0" applyFont="1" applyBorder="1" applyAlignment="1"/>
    <xf numFmtId="0" fontId="16" fillId="0" borderId="12" xfId="0" applyFont="1" applyBorder="1" applyAlignment="1"/>
    <xf numFmtId="0" fontId="16" fillId="0" borderId="20" xfId="0" applyFont="1" applyBorder="1" applyAlignment="1"/>
    <xf numFmtId="0" fontId="16" fillId="0" borderId="1" xfId="0" applyFont="1" applyBorder="1"/>
    <xf numFmtId="0" fontId="42" fillId="0" borderId="21" xfId="0" applyFont="1" applyBorder="1" applyAlignment="1">
      <alignment wrapText="1"/>
    </xf>
    <xf numFmtId="0" fontId="16" fillId="0" borderId="12" xfId="0" applyFont="1" applyBorder="1" applyAlignment="1">
      <alignment wrapText="1"/>
    </xf>
    <xf numFmtId="0" fontId="42" fillId="0" borderId="12" xfId="0" applyFont="1" applyBorder="1" applyAlignment="1">
      <alignment wrapText="1"/>
    </xf>
    <xf numFmtId="0" fontId="42" fillId="0" borderId="20" xfId="0" applyFont="1" applyBorder="1" applyAlignment="1">
      <alignment wrapText="1"/>
    </xf>
    <xf numFmtId="0" fontId="16" fillId="6" borderId="21" xfId="0" applyFont="1" applyFill="1" applyBorder="1" applyAlignment="1">
      <alignment wrapText="1"/>
    </xf>
    <xf numFmtId="0" fontId="42" fillId="6" borderId="12" xfId="0" applyFont="1" applyFill="1" applyBorder="1" applyAlignment="1"/>
    <xf numFmtId="0" fontId="42" fillId="6" borderId="20" xfId="0" applyFont="1" applyFill="1" applyBorder="1" applyAlignment="1"/>
    <xf numFmtId="0" fontId="16" fillId="0" borderId="21" xfId="0" applyFont="1" applyBorder="1" applyAlignment="1">
      <alignment wrapText="1"/>
    </xf>
    <xf numFmtId="0" fontId="30" fillId="0" borderId="0" xfId="0" applyFont="1" applyAlignment="1">
      <alignment horizontal="right" vertical="center" wrapText="1"/>
    </xf>
    <xf numFmtId="0" fontId="0" fillId="0" borderId="0" xfId="0" applyAlignment="1"/>
    <xf numFmtId="0" fontId="35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36" fillId="4" borderId="21" xfId="0" applyFont="1" applyFill="1" applyBorder="1" applyAlignment="1">
      <alignment horizontal="center" vertical="center" wrapText="1"/>
    </xf>
    <xf numFmtId="0" fontId="36" fillId="4" borderId="20" xfId="0" applyFont="1" applyFill="1" applyBorder="1" applyAlignment="1">
      <alignment horizontal="center" vertical="center" wrapText="1"/>
    </xf>
    <xf numFmtId="0" fontId="36" fillId="4" borderId="1" xfId="0" applyFont="1" applyFill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12" xfId="0" applyFont="1" applyBorder="1" applyAlignment="1">
      <alignment horizontal="center"/>
    </xf>
    <xf numFmtId="0" fontId="33" fillId="0" borderId="20" xfId="0" applyFont="1" applyBorder="1" applyAlignment="1">
      <alignment horizontal="center"/>
    </xf>
    <xf numFmtId="0" fontId="16" fillId="0" borderId="21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52" fillId="0" borderId="21" xfId="0" applyFont="1" applyBorder="1" applyAlignment="1">
      <alignment horizontal="center" vertical="center" wrapText="1"/>
    </xf>
    <xf numFmtId="0" fontId="52" fillId="0" borderId="12" xfId="0" applyFont="1" applyBorder="1" applyAlignment="1">
      <alignment horizontal="center" vertical="center" wrapText="1"/>
    </xf>
    <xf numFmtId="0" fontId="52" fillId="0" borderId="20" xfId="0" applyFont="1" applyBorder="1" applyAlignment="1">
      <alignment horizontal="center" vertical="center" wrapText="1"/>
    </xf>
    <xf numFmtId="0" fontId="55" fillId="0" borderId="0" xfId="0" applyFont="1" applyFill="1"/>
    <xf numFmtId="0" fontId="68" fillId="17" borderId="36" xfId="0" applyFont="1" applyFill="1" applyBorder="1" applyAlignment="1">
      <alignment horizontal="center"/>
    </xf>
    <xf numFmtId="0" fontId="68" fillId="17" borderId="0" xfId="0" applyFont="1" applyFill="1" applyAlignment="1">
      <alignment horizontal="center"/>
    </xf>
    <xf numFmtId="0" fontId="69" fillId="14" borderId="0" xfId="0" applyFont="1" applyFill="1"/>
    <xf numFmtId="10" fontId="55" fillId="6" borderId="0" xfId="0" applyNumberFormat="1" applyFont="1" applyFill="1"/>
    <xf numFmtId="9" fontId="55" fillId="6" borderId="0" xfId="0" applyNumberFormat="1" applyFont="1" applyFill="1"/>
    <xf numFmtId="0" fontId="69" fillId="6" borderId="0" xfId="0" applyFont="1" applyFill="1"/>
    <xf numFmtId="0" fontId="70" fillId="6" borderId="0" xfId="0" applyFont="1" applyFill="1" applyBorder="1" applyAlignment="1">
      <alignment horizontal="center" wrapText="1"/>
    </xf>
    <xf numFmtId="0" fontId="54" fillId="6" borderId="0" xfId="0" applyFont="1" applyFill="1" applyBorder="1" applyAlignment="1">
      <alignment horizontal="center" vertical="center" wrapText="1"/>
    </xf>
    <xf numFmtId="165" fontId="55" fillId="6" borderId="0" xfId="0" applyNumberFormat="1" applyFont="1" applyFill="1" applyBorder="1"/>
    <xf numFmtId="164" fontId="55" fillId="6" borderId="0" xfId="0" applyNumberFormat="1" applyFont="1" applyFill="1"/>
    <xf numFmtId="2" fontId="55" fillId="6" borderId="0" xfId="0" applyNumberFormat="1" applyFont="1" applyFill="1"/>
    <xf numFmtId="0" fontId="66" fillId="6" borderId="0" xfId="0" applyFont="1" applyFill="1"/>
    <xf numFmtId="166" fontId="65" fillId="6" borderId="0" xfId="0" applyNumberFormat="1" applyFont="1" applyFill="1"/>
    <xf numFmtId="0" fontId="55" fillId="6" borderId="9" xfId="0" applyFont="1" applyFill="1" applyBorder="1"/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  <colors>
    <mruColors>
      <color rgb="FFFFFFCC"/>
      <color rgb="FFCCFFFF"/>
      <color rgb="FF00FF99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9;&#1069;/&#1054;&#1088;&#1083;&#1086;&#1074;&#1072;%20&#1070;.&#1040;/&#1040;&#1085;&#1072;&#1083;&#1080;&#1090;&#1080;&#1095;&#1077;&#1089;&#1082;&#1080;&#1081;%20&#1086;&#1090;&#1095;&#1077;&#1090;/&#1089;&#1095;&#1077;&#1090;%20&#1074;%20&#1086;&#1090;&#1095;&#1077;&#1090;%20&#1091;&#1090;&#1086;&#1095;&#1085;&#1077;&#1085;&#1085;&#1099;&#108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xchange/&#1040;&#1076;&#1084;&#1080;&#1085;&#1080;&#1089;&#1090;&#1088;&#1072;&#1094;&#1080;&#1103;/&#1054;&#1090;&#1076;&#1077;&#1083;&#1099;/&#1059;&#1087;&#1088;&#1072;&#1074;&#1083;&#1077;&#1085;&#1080;&#1077;%20&#1101;&#1082;&#1086;&#1085;&#1086;&#1084;&#1080;&#1082;&#1080;/&#1054;&#1088;&#1083;&#1086;&#1074;&#1072;%20&#1070;.&#1040;/&#1055;&#1056;&#1054;&#1043;&#1053;&#1054;&#1047;/&#1055;&#1056;&#1054;&#1043;&#1053;&#1054;&#1047;%202023-2025/!!%20&#1055;&#1088;&#1086;&#1075;&#1085;&#1086;&#1079;-2023-2025%20&#8212;%20&#1074;%20&#1052;&#1080;&#1085;&#1101;&#1082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9;&#1069;/&#1054;&#1088;&#1083;&#1086;&#1074;&#1072;%20&#1070;.&#1040;/&#1040;&#1085;&#1072;&#1083;&#1080;&#1090;&#1080;&#1095;&#1077;&#1089;&#1082;&#1080;&#1081;%20&#1086;&#1090;&#1095;&#1077;&#1090;/2022/&#1075;&#1086;&#1076;%2022/!%20&#1086;&#1090;&#1095;&#1077;&#1090;/&#1040;&#1085;&#1072;&#1083;&#1080;&#1090;&#1080;&#1095;&#1077;&#1089;&#1082;&#1080;&#1081;%20&#1086;&#1090;&#1095;&#1077;&#1090;%20&#1079;&#1072;%20%20202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9;&#1069;/&#1054;&#1088;&#1083;&#1086;&#1074;&#1072;%20&#1070;.&#1040;/&#1056;&#1077;&#1077;&#1089;&#1090;&#1088;%20&#1070;&#1051;%20&#1048;&#1055;/2022/&#1075;&#1086;&#1076;%202022/266%20&#1070;&#1051;%20_09.01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ручка"/>
      <sheetName val="Стат с 2008"/>
      <sheetName val="Лист3"/>
    </sheetNames>
    <sheetDataSet>
      <sheetData sheetId="0">
        <row r="15">
          <cell r="AM15">
            <v>2158.2404425084455</v>
          </cell>
          <cell r="AQ15">
            <v>2195.2209168541158</v>
          </cell>
          <cell r="AU15">
            <v>2233.4957078018847</v>
          </cell>
          <cell r="AY15">
            <v>2277.5469230630347</v>
          </cell>
        </row>
      </sheetData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гноз 2022-2024 "/>
      <sheetName val="Приложение 2"/>
      <sheetName val="Прил 3 (расчет ИФО) (2)"/>
      <sheetName val="Прил 4 (показатели предприятий)"/>
      <sheetName val="Прил 5 Прогноз по поселениям"/>
      <sheetName val="Прил 6 Инвестпроекты"/>
    </sheetNames>
    <sheetDataSet>
      <sheetData sheetId="0">
        <row r="10">
          <cell r="C10">
            <v>11187.75</v>
          </cell>
        </row>
        <row r="88">
          <cell r="D88">
            <v>0.34799999999999998</v>
          </cell>
        </row>
        <row r="89">
          <cell r="E89">
            <v>0.71</v>
          </cell>
          <cell r="F89">
            <v>0.71</v>
          </cell>
          <cell r="H89">
            <v>0.71</v>
          </cell>
          <cell r="I89">
            <v>0.71</v>
          </cell>
        </row>
        <row r="92">
          <cell r="F92">
            <v>0.39500000000000002</v>
          </cell>
          <cell r="H92">
            <v>0.39500000000000002</v>
          </cell>
          <cell r="I92">
            <v>0.39500000000000002</v>
          </cell>
        </row>
        <row r="93">
          <cell r="D93">
            <v>3.2879999999999998</v>
          </cell>
          <cell r="E93">
            <v>3.2879999999999998</v>
          </cell>
          <cell r="F93">
            <v>3.2879999999999998</v>
          </cell>
        </row>
        <row r="94">
          <cell r="F94">
            <v>2.6360000000000001</v>
          </cell>
          <cell r="H94">
            <v>2.6360000000000001</v>
          </cell>
          <cell r="I94">
            <v>2.6360000000000001</v>
          </cell>
        </row>
        <row r="123">
          <cell r="C123">
            <v>30906.6</v>
          </cell>
          <cell r="D123">
            <v>32581.101986736008</v>
          </cell>
          <cell r="E123">
            <v>31399.499315756588</v>
          </cell>
          <cell r="F123">
            <v>30300.152739877631</v>
          </cell>
          <cell r="H123">
            <v>30390.590438961684</v>
          </cell>
          <cell r="I123">
            <v>30725.327377129961</v>
          </cell>
        </row>
        <row r="125">
          <cell r="C125">
            <v>28820.400000000001</v>
          </cell>
          <cell r="D125">
            <v>29576.3</v>
          </cell>
          <cell r="E125">
            <v>28481.976899999998</v>
          </cell>
          <cell r="F125">
            <v>27485.107708499996</v>
          </cell>
          <cell r="H125">
            <v>28795.962213345596</v>
          </cell>
          <cell r="I125">
            <v>29112.717797692396</v>
          </cell>
        </row>
        <row r="129">
          <cell r="C129">
            <v>40748</v>
          </cell>
          <cell r="D129">
            <v>49273.2</v>
          </cell>
          <cell r="E129">
            <v>47450.091599999992</v>
          </cell>
          <cell r="F129">
            <v>45789.338393999991</v>
          </cell>
          <cell r="H129">
            <v>47973.181409798388</v>
          </cell>
          <cell r="I129">
            <v>48500.886405306162</v>
          </cell>
        </row>
        <row r="130">
          <cell r="C130">
            <v>24172.14</v>
          </cell>
          <cell r="D130">
            <v>36046.1</v>
          </cell>
          <cell r="E130">
            <v>34712.3943</v>
          </cell>
          <cell r="F130">
            <v>33497.460499499997</v>
          </cell>
          <cell r="H130">
            <v>35095.063734763193</v>
          </cell>
          <cell r="I130">
            <v>35481.109435845581</v>
          </cell>
        </row>
        <row r="131">
          <cell r="C131">
            <v>34687.800000000003</v>
          </cell>
          <cell r="D131">
            <v>37014.800000000003</v>
          </cell>
          <cell r="E131">
            <v>35645.252400000005</v>
          </cell>
          <cell r="F131">
            <v>34397.668566</v>
          </cell>
          <cell r="H131">
            <v>36038.2056624576</v>
          </cell>
          <cell r="I131">
            <v>36434.625924744629</v>
          </cell>
        </row>
        <row r="132">
          <cell r="C132">
            <v>27322</v>
          </cell>
          <cell r="D132">
            <v>31367.200000000001</v>
          </cell>
          <cell r="E132">
            <v>30206.613600000001</v>
          </cell>
          <cell r="F132">
            <v>29149.382124</v>
          </cell>
          <cell r="H132">
            <v>30539.611308326395</v>
          </cell>
          <cell r="I132">
            <v>30875.547032717983</v>
          </cell>
        </row>
        <row r="133">
          <cell r="C133">
            <v>52255.4</v>
          </cell>
          <cell r="D133">
            <v>56341.9</v>
          </cell>
          <cell r="E133">
            <v>54257.2497</v>
          </cell>
          <cell r="F133">
            <v>52358.245960499997</v>
          </cell>
          <cell r="H133">
            <v>54855.381620692795</v>
          </cell>
          <cell r="I133">
            <v>55458.790818520407</v>
          </cell>
        </row>
        <row r="135">
          <cell r="C135">
            <v>37957.088377862492</v>
          </cell>
          <cell r="D135">
            <v>39057.843940820509</v>
          </cell>
          <cell r="E135">
            <v>37612.703715010146</v>
          </cell>
          <cell r="F135">
            <v>36296.259084984791</v>
          </cell>
          <cell r="H135">
            <v>38027.346160764413</v>
          </cell>
          <cell r="I135">
            <v>38445.646968532819</v>
          </cell>
        </row>
        <row r="136">
          <cell r="C136">
            <v>34065.362499999996</v>
          </cell>
          <cell r="D136">
            <v>35053.258012500002</v>
          </cell>
          <cell r="E136">
            <v>33756.287466037502</v>
          </cell>
          <cell r="F136">
            <v>32574.817404726189</v>
          </cell>
          <cell r="H136">
            <v>34128.416779063096</v>
          </cell>
          <cell r="I136">
            <v>34503.829363632787</v>
          </cell>
        </row>
        <row r="140">
          <cell r="C140">
            <v>21251.945027625003</v>
          </cell>
          <cell r="D140">
            <v>21868.251433426132</v>
          </cell>
          <cell r="E140">
            <v>21059.126130389366</v>
          </cell>
          <cell r="F140">
            <v>20322.056715825736</v>
          </cell>
          <cell r="H140">
            <v>21291.281936850777</v>
          </cell>
          <cell r="I140">
            <v>21525.486038156134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т.отчет"/>
      <sheetName val="Диагностика"/>
      <sheetName val="Расчет ИФО"/>
    </sheetNames>
    <sheetDataSet>
      <sheetData sheetId="0"/>
      <sheetData sheetId="1">
        <row r="28">
          <cell r="AL28">
            <v>4070.7984043820766</v>
          </cell>
        </row>
        <row r="29">
          <cell r="AL29">
            <v>6772.1723634200453</v>
          </cell>
        </row>
        <row r="30">
          <cell r="AL30">
            <v>843.2108161041474</v>
          </cell>
        </row>
        <row r="31">
          <cell r="AL31">
            <v>381.46313381519678</v>
          </cell>
        </row>
        <row r="32">
          <cell r="AL32">
            <v>49.336490534915171</v>
          </cell>
        </row>
        <row r="33">
          <cell r="AL33">
            <v>24.188696418310698</v>
          </cell>
        </row>
        <row r="34">
          <cell r="AL34">
            <v>20.221742046648373</v>
          </cell>
        </row>
        <row r="35">
          <cell r="AL35">
            <v>2.6083532786584622</v>
          </cell>
        </row>
      </sheetData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298">
          <cell r="D298">
            <v>54</v>
          </cell>
        </row>
        <row r="299">
          <cell r="D299">
            <v>342</v>
          </cell>
        </row>
        <row r="300">
          <cell r="D300">
            <v>228</v>
          </cell>
        </row>
        <row r="301">
          <cell r="D301">
            <v>12</v>
          </cell>
        </row>
        <row r="302">
          <cell r="D302">
            <v>41</v>
          </cell>
        </row>
        <row r="303">
          <cell r="D303">
            <v>11</v>
          </cell>
        </row>
        <row r="304">
          <cell r="D304">
            <v>6</v>
          </cell>
        </row>
        <row r="305">
          <cell r="D305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50"/>
  </sheetPr>
  <dimension ref="A1:T168"/>
  <sheetViews>
    <sheetView tabSelected="1" view="pageBreakPreview" zoomScale="75" zoomScaleNormal="75" workbookViewId="0">
      <selection activeCell="E8" sqref="E8"/>
    </sheetView>
  </sheetViews>
  <sheetFormatPr defaultRowHeight="18.75" x14ac:dyDescent="0.3"/>
  <cols>
    <col min="1" max="1" width="74.7109375" customWidth="1"/>
    <col min="2" max="2" width="15.140625" customWidth="1"/>
    <col min="3" max="3" width="14.140625" style="194" customWidth="1"/>
    <col min="4" max="4" width="13" customWidth="1"/>
    <col min="5" max="5" width="18.42578125" customWidth="1"/>
    <col min="6" max="6" width="17.140625" customWidth="1"/>
    <col min="7" max="7" width="18.85546875" customWidth="1"/>
    <col min="8" max="8" width="16.42578125" customWidth="1"/>
    <col min="9" max="9" width="16.42578125" bestFit="1" customWidth="1"/>
    <col min="10" max="10" width="10.42578125" style="155" hidden="1" customWidth="1"/>
    <col min="11" max="11" width="11" style="563" hidden="1" customWidth="1"/>
    <col min="12" max="12" width="10.7109375" style="155" hidden="1" customWidth="1"/>
    <col min="13" max="16" width="9.140625" style="155" hidden="1" customWidth="1"/>
    <col min="17" max="20" width="0" style="155" hidden="1" customWidth="1"/>
  </cols>
  <sheetData>
    <row r="1" spans="1:20" ht="21" customHeight="1" x14ac:dyDescent="0.2">
      <c r="A1" s="451"/>
      <c r="B1" s="451"/>
      <c r="C1" s="451"/>
      <c r="D1" s="451"/>
      <c r="E1" s="451"/>
      <c r="F1" s="451"/>
      <c r="G1" s="451"/>
      <c r="H1" s="447"/>
      <c r="I1" s="448"/>
    </row>
    <row r="2" spans="1:20" ht="51" customHeight="1" x14ac:dyDescent="0.2">
      <c r="A2" s="449" t="s">
        <v>484</v>
      </c>
      <c r="B2" s="449"/>
      <c r="C2" s="449"/>
      <c r="D2" s="449"/>
      <c r="E2" s="449"/>
      <c r="F2" s="449"/>
      <c r="G2" s="449"/>
      <c r="H2" s="449"/>
      <c r="I2" s="449"/>
    </row>
    <row r="3" spans="1:20" ht="14.25" customHeight="1" x14ac:dyDescent="0.2">
      <c r="A3" s="122"/>
      <c r="B3" s="122"/>
      <c r="C3" s="197"/>
      <c r="D3" s="122"/>
      <c r="E3" s="122"/>
      <c r="F3" s="122"/>
      <c r="G3" s="122"/>
      <c r="H3" s="37"/>
      <c r="I3" s="37"/>
    </row>
    <row r="4" spans="1:20" ht="21" customHeight="1" x14ac:dyDescent="0.25">
      <c r="A4" s="446" t="s">
        <v>3</v>
      </c>
      <c r="B4" s="450" t="s">
        <v>4</v>
      </c>
      <c r="C4" s="446" t="s">
        <v>398</v>
      </c>
      <c r="D4" s="446" t="s">
        <v>485</v>
      </c>
      <c r="E4" s="446" t="s">
        <v>486</v>
      </c>
      <c r="F4" s="446" t="s">
        <v>59</v>
      </c>
      <c r="G4" s="446"/>
      <c r="H4" s="446"/>
      <c r="I4" s="446"/>
      <c r="J4" s="564" t="s">
        <v>523</v>
      </c>
      <c r="K4" s="565"/>
      <c r="L4" s="565"/>
      <c r="M4" s="565"/>
      <c r="N4" s="565"/>
    </row>
    <row r="5" spans="1:20" ht="33" customHeight="1" x14ac:dyDescent="0.2">
      <c r="A5" s="446"/>
      <c r="B5" s="450"/>
      <c r="C5" s="446"/>
      <c r="D5" s="446"/>
      <c r="E5" s="446"/>
      <c r="F5" s="446" t="s">
        <v>274</v>
      </c>
      <c r="G5" s="446"/>
      <c r="H5" s="446" t="s">
        <v>395</v>
      </c>
      <c r="I5" s="446" t="s">
        <v>487</v>
      </c>
      <c r="K5" s="228" t="s">
        <v>501</v>
      </c>
      <c r="L5" s="155" t="s">
        <v>500</v>
      </c>
    </row>
    <row r="6" spans="1:20" ht="55.5" customHeight="1" x14ac:dyDescent="0.2">
      <c r="A6" s="446"/>
      <c r="B6" s="450"/>
      <c r="C6" s="446"/>
      <c r="D6" s="446"/>
      <c r="E6" s="446"/>
      <c r="F6" s="211" t="s">
        <v>396</v>
      </c>
      <c r="G6" s="211" t="s">
        <v>397</v>
      </c>
      <c r="H6" s="446"/>
      <c r="I6" s="446"/>
      <c r="J6" s="155">
        <v>2023</v>
      </c>
      <c r="K6" s="228">
        <v>2024</v>
      </c>
      <c r="L6" s="155">
        <v>2024</v>
      </c>
      <c r="M6" s="155">
        <v>2025</v>
      </c>
      <c r="N6" s="155">
        <v>2026</v>
      </c>
    </row>
    <row r="7" spans="1:20" x14ac:dyDescent="0.2">
      <c r="A7" s="441" t="s">
        <v>5</v>
      </c>
      <c r="B7" s="442"/>
      <c r="C7" s="442"/>
      <c r="D7" s="442"/>
      <c r="E7" s="442"/>
      <c r="F7" s="442"/>
      <c r="G7" s="442"/>
      <c r="H7" s="442"/>
      <c r="I7" s="442"/>
      <c r="J7" s="566" t="s">
        <v>499</v>
      </c>
    </row>
    <row r="8" spans="1:20" s="79" customFormat="1" ht="39" x14ac:dyDescent="0.2">
      <c r="A8" s="359" t="s">
        <v>72</v>
      </c>
      <c r="B8" s="360" t="s">
        <v>6</v>
      </c>
      <c r="C8" s="361">
        <v>14448.552770000002</v>
      </c>
      <c r="D8" s="361">
        <f>'Прил 3 Прогноз по поселениям'!C16</f>
        <v>12184.12</v>
      </c>
      <c r="E8" s="361">
        <f>'Прил 3 Прогноз по поселениям'!D16</f>
        <v>12163.999999999998</v>
      </c>
      <c r="F8" s="361">
        <f>E8*97.1%</f>
        <v>11811.243999999999</v>
      </c>
      <c r="G8" s="361">
        <f>'Прил 3 Прогноз по поселениям'!E16</f>
        <v>12649.550000000001</v>
      </c>
      <c r="H8" s="361">
        <f>'Прил 3 Прогноз по поселениям'!F16</f>
        <v>13104.309999999998</v>
      </c>
      <c r="I8" s="361">
        <f>'Прил 3 Прогноз по поселениям'!G16</f>
        <v>13575.28</v>
      </c>
      <c r="J8" s="567">
        <v>1.052</v>
      </c>
      <c r="K8" s="228"/>
      <c r="L8" s="567">
        <v>1.0489999999999999</v>
      </c>
      <c r="M8" s="568">
        <v>1.04</v>
      </c>
      <c r="N8" s="568">
        <v>1.04</v>
      </c>
      <c r="O8" s="228"/>
      <c r="P8" s="228"/>
      <c r="Q8" s="228"/>
      <c r="R8" s="228"/>
      <c r="S8" s="228"/>
      <c r="T8" s="228"/>
    </row>
    <row r="9" spans="1:20" s="79" customFormat="1" x14ac:dyDescent="0.2">
      <c r="A9" s="362" t="s">
        <v>7</v>
      </c>
      <c r="B9" s="363"/>
      <c r="C9" s="364"/>
      <c r="D9" s="365"/>
      <c r="E9" s="365"/>
      <c r="F9" s="365"/>
      <c r="G9" s="365"/>
      <c r="H9" s="365"/>
      <c r="I9" s="365"/>
      <c r="J9" s="228"/>
      <c r="K9" s="228"/>
      <c r="L9" s="228"/>
      <c r="M9" s="228"/>
      <c r="N9" s="228"/>
      <c r="O9" s="228"/>
      <c r="P9" s="228"/>
      <c r="Q9" s="228"/>
      <c r="R9" s="228"/>
      <c r="S9" s="228"/>
      <c r="T9" s="228"/>
    </row>
    <row r="10" spans="1:20" s="79" customFormat="1" ht="37.5" x14ac:dyDescent="0.2">
      <c r="A10" s="366" t="s">
        <v>135</v>
      </c>
      <c r="B10" s="90" t="s">
        <v>6</v>
      </c>
      <c r="C10" s="214">
        <v>7.94</v>
      </c>
      <c r="D10" s="214">
        <v>35.590000000000003</v>
      </c>
      <c r="E10" s="214">
        <f>D10*J10</f>
        <v>36.088260000000005</v>
      </c>
      <c r="F10" s="367">
        <f>G10</f>
        <v>37.748319960000011</v>
      </c>
      <c r="G10" s="214">
        <f>E10*L10</f>
        <v>37.748319960000011</v>
      </c>
      <c r="H10" s="214">
        <f>G10*M10</f>
        <v>39.333749398320009</v>
      </c>
      <c r="I10" s="214">
        <f>H10*N10</f>
        <v>40.946433123651126</v>
      </c>
      <c r="J10" s="567">
        <v>1.014</v>
      </c>
      <c r="K10" s="228"/>
      <c r="L10" s="567">
        <v>1.046</v>
      </c>
      <c r="M10" s="567">
        <v>1.042</v>
      </c>
      <c r="N10" s="567">
        <v>1.0409999999999999</v>
      </c>
      <c r="O10" s="228"/>
      <c r="P10" s="228"/>
      <c r="Q10" s="228"/>
      <c r="R10" s="228"/>
      <c r="S10" s="228"/>
      <c r="T10" s="228"/>
    </row>
    <row r="11" spans="1:20" s="79" customFormat="1" ht="37.5" x14ac:dyDescent="0.3">
      <c r="A11" s="366" t="s">
        <v>136</v>
      </c>
      <c r="B11" s="90" t="s">
        <v>6</v>
      </c>
      <c r="C11" s="214"/>
      <c r="D11" s="214"/>
      <c r="E11" s="214"/>
      <c r="F11" s="213"/>
      <c r="G11" s="214"/>
      <c r="H11" s="214"/>
      <c r="I11" s="214"/>
      <c r="J11" s="228"/>
      <c r="K11" s="228"/>
      <c r="L11" s="228"/>
      <c r="M11" s="228"/>
      <c r="N11" s="228"/>
      <c r="O11" s="228"/>
      <c r="P11" s="228"/>
      <c r="Q11" s="228"/>
      <c r="R11" s="228"/>
      <c r="S11" s="228"/>
      <c r="T11" s="228"/>
    </row>
    <row r="12" spans="1:20" s="79" customFormat="1" x14ac:dyDescent="0.3">
      <c r="A12" s="368" t="s">
        <v>137</v>
      </c>
      <c r="B12" s="90" t="s">
        <v>6</v>
      </c>
      <c r="C12" s="214"/>
      <c r="D12" s="214"/>
      <c r="E12" s="214"/>
      <c r="F12" s="213"/>
      <c r="G12" s="214"/>
      <c r="H12" s="214"/>
      <c r="I12" s="214"/>
      <c r="J12" s="228"/>
      <c r="K12" s="228"/>
      <c r="L12" s="228"/>
      <c r="M12" s="228"/>
      <c r="N12" s="228"/>
      <c r="O12" s="228"/>
      <c r="P12" s="228"/>
      <c r="Q12" s="228"/>
      <c r="R12" s="228"/>
      <c r="S12" s="228"/>
      <c r="T12" s="228"/>
    </row>
    <row r="13" spans="1:20" s="79" customFormat="1" x14ac:dyDescent="0.3">
      <c r="A13" s="368" t="s">
        <v>138</v>
      </c>
      <c r="B13" s="90" t="s">
        <v>6</v>
      </c>
      <c r="C13" s="214"/>
      <c r="D13" s="214"/>
      <c r="E13" s="214"/>
      <c r="F13" s="213"/>
      <c r="G13" s="214"/>
      <c r="H13" s="214"/>
      <c r="I13" s="214"/>
      <c r="J13" s="228"/>
      <c r="K13" s="228"/>
      <c r="L13" s="228"/>
      <c r="M13" s="228"/>
      <c r="N13" s="228"/>
      <c r="O13" s="228"/>
      <c r="P13" s="228"/>
      <c r="Q13" s="228"/>
      <c r="R13" s="228"/>
      <c r="S13" s="228"/>
      <c r="T13" s="228"/>
    </row>
    <row r="14" spans="1:20" s="79" customFormat="1" x14ac:dyDescent="0.3">
      <c r="A14" s="368" t="s">
        <v>42</v>
      </c>
      <c r="B14" s="90" t="s">
        <v>6</v>
      </c>
      <c r="C14" s="214">
        <v>369.952</v>
      </c>
      <c r="D14" s="214">
        <v>405.09699999999998</v>
      </c>
      <c r="E14" s="214">
        <f t="shared" ref="E14:E20" si="0">D14*J14</f>
        <v>428.592626</v>
      </c>
      <c r="F14" s="213">
        <f t="shared" ref="F14:F21" si="1">G14</f>
        <v>441.45040477999999</v>
      </c>
      <c r="G14" s="214">
        <f t="shared" ref="G14:G20" si="2">E14*L14</f>
        <v>441.45040477999999</v>
      </c>
      <c r="H14" s="214">
        <f t="shared" ref="H14:I20" si="3">G14*M14</f>
        <v>453.81101611383997</v>
      </c>
      <c r="I14" s="214">
        <f t="shared" si="3"/>
        <v>466.0639135489136</v>
      </c>
      <c r="J14" s="567">
        <v>1.0580000000000001</v>
      </c>
      <c r="K14" s="228"/>
      <c r="L14" s="567">
        <v>1.03</v>
      </c>
      <c r="M14" s="568">
        <v>1.028</v>
      </c>
      <c r="N14" s="567">
        <v>1.0269999999999999</v>
      </c>
      <c r="O14" s="228"/>
      <c r="P14" s="228"/>
      <c r="Q14" s="228"/>
      <c r="R14" s="228"/>
      <c r="S14" s="228"/>
      <c r="T14" s="228"/>
    </row>
    <row r="15" spans="1:20" s="79" customFormat="1" x14ac:dyDescent="0.3">
      <c r="A15" s="368" t="s">
        <v>43</v>
      </c>
      <c r="B15" s="90" t="s">
        <v>6</v>
      </c>
      <c r="C15" s="214">
        <v>619.53300000000002</v>
      </c>
      <c r="D15" s="214">
        <v>753.85199999999998</v>
      </c>
      <c r="E15" s="214">
        <f t="shared" si="0"/>
        <v>758.37511199999994</v>
      </c>
      <c r="F15" s="213">
        <f t="shared" si="1"/>
        <v>795.53549248799993</v>
      </c>
      <c r="G15" s="214">
        <f t="shared" si="2"/>
        <v>795.53549248799993</v>
      </c>
      <c r="H15" s="214">
        <f t="shared" si="3"/>
        <v>827.35691218751992</v>
      </c>
      <c r="I15" s="214">
        <f t="shared" si="3"/>
        <v>859.62383176283311</v>
      </c>
      <c r="J15" s="567">
        <v>1.006</v>
      </c>
      <c r="K15" s="228"/>
      <c r="L15" s="567">
        <v>1.0489999999999999</v>
      </c>
      <c r="M15" s="568">
        <v>1.04</v>
      </c>
      <c r="N15" s="567">
        <v>1.0389999999999999</v>
      </c>
      <c r="O15" s="228"/>
      <c r="P15" s="228"/>
      <c r="Q15" s="228"/>
      <c r="R15" s="228"/>
      <c r="S15" s="228"/>
      <c r="T15" s="228"/>
    </row>
    <row r="16" spans="1:20" s="79" customFormat="1" ht="40.5" customHeight="1" x14ac:dyDescent="0.2">
      <c r="A16" s="366" t="s">
        <v>139</v>
      </c>
      <c r="B16" s="90" t="s">
        <v>6</v>
      </c>
      <c r="C16" s="214">
        <v>798.11699999999996</v>
      </c>
      <c r="D16" s="214">
        <v>721.005</v>
      </c>
      <c r="E16" s="214">
        <f t="shared" si="0"/>
        <v>770.03334000000007</v>
      </c>
      <c r="F16" s="367">
        <f t="shared" si="1"/>
        <v>803.14477362000002</v>
      </c>
      <c r="G16" s="214">
        <f t="shared" si="2"/>
        <v>803.14477362000002</v>
      </c>
      <c r="H16" s="214">
        <f t="shared" si="3"/>
        <v>837.67999888565998</v>
      </c>
      <c r="I16" s="214">
        <f t="shared" si="3"/>
        <v>872.86255883885769</v>
      </c>
      <c r="J16" s="567">
        <v>1.0680000000000001</v>
      </c>
      <c r="K16" s="228"/>
      <c r="L16" s="567">
        <v>1.0429999999999999</v>
      </c>
      <c r="M16" s="567">
        <v>1.0429999999999999</v>
      </c>
      <c r="N16" s="567">
        <v>1.042</v>
      </c>
      <c r="O16" s="228"/>
      <c r="P16" s="228"/>
      <c r="Q16" s="228"/>
      <c r="R16" s="228"/>
      <c r="S16" s="228"/>
      <c r="T16" s="228"/>
    </row>
    <row r="17" spans="1:20" s="79" customFormat="1" ht="37.5" customHeight="1" x14ac:dyDescent="0.2">
      <c r="A17" s="366" t="s">
        <v>140</v>
      </c>
      <c r="B17" s="90" t="s">
        <v>6</v>
      </c>
      <c r="C17" s="214">
        <v>107.93</v>
      </c>
      <c r="D17" s="214">
        <v>131.13499999999999</v>
      </c>
      <c r="E17" s="214">
        <f t="shared" si="0"/>
        <v>137.03607499999998</v>
      </c>
      <c r="F17" s="369">
        <f t="shared" si="1"/>
        <v>143.33973444999998</v>
      </c>
      <c r="G17" s="214">
        <f t="shared" si="2"/>
        <v>143.33973444999998</v>
      </c>
      <c r="H17" s="214">
        <f t="shared" si="3"/>
        <v>149.36000329689998</v>
      </c>
      <c r="I17" s="214">
        <f t="shared" si="3"/>
        <v>155.48376343207286</v>
      </c>
      <c r="J17" s="567">
        <v>1.0449999999999999</v>
      </c>
      <c r="K17" s="228"/>
      <c r="L17" s="567">
        <v>1.046</v>
      </c>
      <c r="M17" s="567">
        <v>1.042</v>
      </c>
      <c r="N17" s="567">
        <v>1.0409999999999999</v>
      </c>
      <c r="O17" s="228"/>
      <c r="P17" s="228"/>
      <c r="Q17" s="228"/>
      <c r="R17" s="228"/>
      <c r="S17" s="228"/>
      <c r="T17" s="228"/>
    </row>
    <row r="18" spans="1:20" s="79" customFormat="1" x14ac:dyDescent="0.2">
      <c r="A18" s="368" t="s">
        <v>12</v>
      </c>
      <c r="B18" s="90" t="s">
        <v>6</v>
      </c>
      <c r="C18" s="214">
        <v>1384.3330000000001</v>
      </c>
      <c r="D18" s="214">
        <v>1168.711</v>
      </c>
      <c r="E18" s="214">
        <f t="shared" si="0"/>
        <v>1218.9655729999999</v>
      </c>
      <c r="F18" s="369">
        <f t="shared" si="1"/>
        <v>1276.2569549309999</v>
      </c>
      <c r="G18" s="214">
        <f t="shared" si="2"/>
        <v>1276.2569549309999</v>
      </c>
      <c r="H18" s="214">
        <f t="shared" si="3"/>
        <v>1331.1360039930328</v>
      </c>
      <c r="I18" s="214">
        <f t="shared" si="3"/>
        <v>1380.3880361407748</v>
      </c>
      <c r="J18" s="567">
        <v>1.0429999999999999</v>
      </c>
      <c r="K18" s="228"/>
      <c r="L18" s="567">
        <v>1.0469999999999999</v>
      </c>
      <c r="M18" s="567">
        <v>1.0429999999999999</v>
      </c>
      <c r="N18" s="567">
        <v>1.0369999999999999</v>
      </c>
      <c r="O18" s="228"/>
      <c r="P18" s="228"/>
      <c r="Q18" s="228"/>
      <c r="R18" s="228"/>
      <c r="S18" s="228"/>
      <c r="T18" s="228"/>
    </row>
    <row r="19" spans="1:20" s="79" customFormat="1" ht="37.5" x14ac:dyDescent="0.2">
      <c r="A19" s="366" t="s">
        <v>141</v>
      </c>
      <c r="B19" s="90" t="s">
        <v>6</v>
      </c>
      <c r="C19" s="214">
        <v>6504.598</v>
      </c>
      <c r="D19" s="214">
        <v>4465.9139999999998</v>
      </c>
      <c r="E19" s="214">
        <f t="shared" si="0"/>
        <v>4702.6074419999995</v>
      </c>
      <c r="F19" s="369">
        <f t="shared" si="1"/>
        <v>4867.1987024699993</v>
      </c>
      <c r="G19" s="214">
        <f t="shared" si="2"/>
        <v>4867.1987024699993</v>
      </c>
      <c r="H19" s="214">
        <f t="shared" si="3"/>
        <v>5037.5506570564485</v>
      </c>
      <c r="I19" s="214">
        <f t="shared" si="3"/>
        <v>5218.9024807104806</v>
      </c>
      <c r="J19" s="567">
        <v>1.0529999999999999</v>
      </c>
      <c r="K19" s="228"/>
      <c r="L19" s="567">
        <v>1.0349999999999999</v>
      </c>
      <c r="M19" s="567">
        <v>1.0349999999999999</v>
      </c>
      <c r="N19" s="567">
        <v>1.036</v>
      </c>
      <c r="O19" s="569" t="s">
        <v>502</v>
      </c>
      <c r="P19" s="228"/>
      <c r="Q19" s="228"/>
      <c r="R19" s="228"/>
      <c r="S19" s="228"/>
      <c r="T19" s="228"/>
    </row>
    <row r="20" spans="1:20" s="79" customFormat="1" x14ac:dyDescent="0.2">
      <c r="A20" s="368" t="s">
        <v>170</v>
      </c>
      <c r="B20" s="90" t="s">
        <v>6</v>
      </c>
      <c r="C20" s="214">
        <v>3013.06</v>
      </c>
      <c r="D20" s="214">
        <v>2776.4090000000001</v>
      </c>
      <c r="E20" s="214">
        <f t="shared" si="0"/>
        <v>2948.5463580000001</v>
      </c>
      <c r="F20" s="369">
        <f t="shared" si="1"/>
        <v>3104.819314974</v>
      </c>
      <c r="G20" s="214">
        <f t="shared" si="2"/>
        <v>3104.819314974</v>
      </c>
      <c r="H20" s="214">
        <f t="shared" si="3"/>
        <v>3250.7458227777779</v>
      </c>
      <c r="I20" s="214">
        <f t="shared" si="3"/>
        <v>3390.527893157222</v>
      </c>
      <c r="J20" s="567">
        <v>1.0620000000000001</v>
      </c>
      <c r="K20" s="228"/>
      <c r="L20" s="567">
        <v>1.0529999999999999</v>
      </c>
      <c r="M20" s="567">
        <v>1.0469999999999999</v>
      </c>
      <c r="N20" s="567">
        <v>1.0429999999999999</v>
      </c>
      <c r="O20" s="228"/>
      <c r="P20" s="228"/>
      <c r="Q20" s="228"/>
      <c r="R20" s="228"/>
      <c r="S20" s="228"/>
      <c r="T20" s="228"/>
    </row>
    <row r="21" spans="1:20" s="79" customFormat="1" x14ac:dyDescent="0.2">
      <c r="A21" s="368" t="s">
        <v>171</v>
      </c>
      <c r="B21" s="90" t="s">
        <v>6</v>
      </c>
      <c r="C21" s="214">
        <v>18.850000000000001</v>
      </c>
      <c r="D21" s="214">
        <v>9.3070000000000004</v>
      </c>
      <c r="E21" s="214">
        <f>D21*J8</f>
        <v>9.7909640000000007</v>
      </c>
      <c r="F21" s="369">
        <f t="shared" si="1"/>
        <v>10.270721236</v>
      </c>
      <c r="G21" s="214">
        <f>E21*L8</f>
        <v>10.270721236</v>
      </c>
      <c r="H21" s="214">
        <f>G21*M8</f>
        <v>10.68155008544</v>
      </c>
      <c r="I21" s="214">
        <f>H21*N8</f>
        <v>11.108812088857601</v>
      </c>
      <c r="J21" s="228"/>
      <c r="K21" s="228"/>
      <c r="L21" s="228"/>
      <c r="M21" s="228"/>
      <c r="N21" s="228"/>
      <c r="O21" s="228"/>
      <c r="P21" s="228"/>
      <c r="Q21" s="228"/>
      <c r="R21" s="228"/>
      <c r="S21" s="228"/>
      <c r="T21" s="228"/>
    </row>
    <row r="22" spans="1:20" s="79" customFormat="1" x14ac:dyDescent="0.2">
      <c r="A22" s="368" t="s">
        <v>47</v>
      </c>
      <c r="B22" s="90" t="s">
        <v>6</v>
      </c>
      <c r="C22" s="214">
        <v>1624.239770000002</v>
      </c>
      <c r="D22" s="214">
        <f>D8-D10-D14-D15-D16-D17-D18-D19-D20-D21</f>
        <v>1717.1000000000015</v>
      </c>
      <c r="E22" s="214">
        <f>E8-E10-E14-E15-E16-E17-E18-E19-E20-E21</f>
        <v>1153.9642499999993</v>
      </c>
      <c r="F22" s="214">
        <f t="shared" ref="F22" si="4">F8-F10-F14-F15-F16-F17-F18-F19-F20-F21</f>
        <v>331.47958109100011</v>
      </c>
      <c r="G22" s="214">
        <f>G8-G10-G14-G15-G16-G17-G18-G19-G20-G21</f>
        <v>1169.7855810910023</v>
      </c>
      <c r="H22" s="214">
        <f>H8-H10-H14-H15-H16-H17-H18-H19-H20-H21</f>
        <v>1166.6542862050574</v>
      </c>
      <c r="I22" s="214">
        <f>I8-I10-I14-I15-I16-I17-I18-I19-I20-I21</f>
        <v>1179.3722771963407</v>
      </c>
      <c r="J22" s="228"/>
      <c r="K22" s="228"/>
      <c r="L22" s="228"/>
      <c r="M22" s="228"/>
      <c r="N22" s="228"/>
      <c r="O22" s="228"/>
      <c r="P22" s="228"/>
      <c r="Q22" s="228"/>
      <c r="R22" s="228"/>
      <c r="S22" s="228"/>
      <c r="T22" s="228"/>
    </row>
    <row r="23" spans="1:20" s="79" customFormat="1" ht="58.5" x14ac:dyDescent="0.2">
      <c r="A23" s="359" t="s">
        <v>73</v>
      </c>
      <c r="B23" s="90" t="s">
        <v>6</v>
      </c>
      <c r="C23" s="370">
        <v>2216.75</v>
      </c>
      <c r="D23" s="370">
        <v>2105.1</v>
      </c>
      <c r="E23" s="371">
        <f>[1]Выручка!$AM$15</f>
        <v>2158.2404425084455</v>
      </c>
      <c r="F23" s="371">
        <f>E23*97.1%</f>
        <v>2095.6514696757004</v>
      </c>
      <c r="G23" s="371">
        <f>[1]Выручка!$AQ$15</f>
        <v>2195.2209168541158</v>
      </c>
      <c r="H23" s="372">
        <f>[1]Выручка!$AU$15</f>
        <v>2233.4957078018847</v>
      </c>
      <c r="I23" s="373">
        <f>[1]Выручка!$AY$15</f>
        <v>2277.5469230630347</v>
      </c>
      <c r="J23" s="228"/>
      <c r="K23" s="228"/>
      <c r="L23" s="228"/>
      <c r="M23" s="228"/>
      <c r="N23" s="228"/>
      <c r="O23" s="228"/>
      <c r="P23" s="228"/>
      <c r="Q23" s="228"/>
      <c r="R23" s="228"/>
      <c r="S23" s="228"/>
      <c r="T23" s="228"/>
    </row>
    <row r="24" spans="1:20" s="79" customFormat="1" ht="44.25" customHeight="1" x14ac:dyDescent="0.2">
      <c r="A24" s="374" t="s">
        <v>93</v>
      </c>
      <c r="B24" s="78" t="s">
        <v>6</v>
      </c>
      <c r="C24" s="375">
        <v>249.17</v>
      </c>
      <c r="D24" s="375">
        <v>178.92</v>
      </c>
      <c r="E24" s="375">
        <v>72.17</v>
      </c>
      <c r="F24" s="375">
        <v>72.680000000000007</v>
      </c>
      <c r="G24" s="375">
        <v>72.680000000000007</v>
      </c>
      <c r="H24" s="375">
        <v>77.459999999999994</v>
      </c>
      <c r="I24" s="375">
        <v>79.040000000000006</v>
      </c>
      <c r="J24" s="228"/>
      <c r="K24" s="228"/>
      <c r="L24" s="228"/>
      <c r="M24" s="228"/>
      <c r="N24" s="228"/>
      <c r="O24" s="228"/>
      <c r="P24" s="228"/>
      <c r="Q24" s="228"/>
      <c r="R24" s="228"/>
      <c r="S24" s="228"/>
      <c r="T24" s="228"/>
    </row>
    <row r="25" spans="1:20" ht="18.75" customHeight="1" x14ac:dyDescent="0.2">
      <c r="A25" s="443" t="s">
        <v>10</v>
      </c>
      <c r="B25" s="444"/>
      <c r="C25" s="444"/>
      <c r="D25" s="444"/>
      <c r="E25" s="444"/>
      <c r="F25" s="444"/>
      <c r="G25" s="444"/>
      <c r="H25" s="444"/>
      <c r="I25" s="444"/>
    </row>
    <row r="26" spans="1:20" s="79" customFormat="1" x14ac:dyDescent="0.2">
      <c r="A26" s="376" t="s">
        <v>61</v>
      </c>
      <c r="B26" s="377"/>
      <c r="C26" s="378"/>
      <c r="D26" s="377"/>
      <c r="E26" s="377"/>
      <c r="F26" s="377"/>
      <c r="G26" s="377"/>
      <c r="H26" s="377"/>
      <c r="I26" s="377"/>
      <c r="J26" s="228"/>
      <c r="K26" s="228"/>
      <c r="L26" s="228"/>
      <c r="M26" s="228"/>
      <c r="N26" s="228"/>
      <c r="O26" s="228"/>
      <c r="P26" s="228"/>
      <c r="Q26" s="228"/>
      <c r="R26" s="228"/>
      <c r="S26" s="228"/>
      <c r="T26" s="228"/>
    </row>
    <row r="27" spans="1:20" s="79" customFormat="1" ht="58.5" customHeight="1" x14ac:dyDescent="0.2">
      <c r="A27" s="379" t="s">
        <v>268</v>
      </c>
      <c r="B27" s="90" t="s">
        <v>6</v>
      </c>
      <c r="C27" s="371">
        <v>1895.5319999999999</v>
      </c>
      <c r="D27" s="380">
        <f>D31</f>
        <v>2011.0890000000002</v>
      </c>
      <c r="E27" s="380">
        <f>E31</f>
        <v>2094.0371529999998</v>
      </c>
      <c r="F27" s="380">
        <f t="shared" ref="F27:I27" si="5">F31</f>
        <v>2183.4704053380001</v>
      </c>
      <c r="G27" s="380">
        <f>G31</f>
        <v>2183.4704053380001</v>
      </c>
      <c r="H27" s="380">
        <f t="shared" si="5"/>
        <v>2268.2079304839199</v>
      </c>
      <c r="I27" s="380">
        <f t="shared" si="5"/>
        <v>2354.0340675826774</v>
      </c>
      <c r="J27" s="228"/>
      <c r="K27" s="228"/>
      <c r="L27" s="228"/>
      <c r="M27" s="228"/>
      <c r="N27" s="228"/>
      <c r="O27" s="228"/>
      <c r="P27" s="228"/>
      <c r="Q27" s="228"/>
      <c r="R27" s="228"/>
      <c r="S27" s="228"/>
      <c r="T27" s="228"/>
    </row>
    <row r="28" spans="1:20" s="79" customFormat="1" x14ac:dyDescent="0.2">
      <c r="A28" s="379" t="s">
        <v>63</v>
      </c>
      <c r="B28" s="381" t="s">
        <v>8</v>
      </c>
      <c r="C28" s="370">
        <v>115</v>
      </c>
      <c r="D28" s="381">
        <f>D32</f>
        <v>111.83707738186794</v>
      </c>
      <c r="E28" s="380">
        <f>E32</f>
        <v>105.93843399381797</v>
      </c>
      <c r="F28" s="380">
        <f t="shared" ref="F28:I28" si="6">F32</f>
        <v>103.27570623691736</v>
      </c>
      <c r="G28" s="380">
        <f t="shared" si="6"/>
        <v>103.27570623691736</v>
      </c>
      <c r="H28" s="380">
        <f t="shared" si="6"/>
        <v>103.08620666132498</v>
      </c>
      <c r="I28" s="380">
        <f t="shared" si="6"/>
        <v>102.99284300372101</v>
      </c>
      <c r="J28" s="228"/>
      <c r="K28" s="228"/>
      <c r="L28" s="228"/>
      <c r="M28" s="228"/>
      <c r="N28" s="228"/>
      <c r="O28" s="228"/>
      <c r="P28" s="228"/>
      <c r="Q28" s="228"/>
      <c r="R28" s="228"/>
      <c r="S28" s="228"/>
      <c r="T28" s="228"/>
    </row>
    <row r="29" spans="1:20" s="79" customFormat="1" x14ac:dyDescent="0.2">
      <c r="A29" s="209" t="s">
        <v>23</v>
      </c>
      <c r="B29" s="90"/>
      <c r="C29" s="370"/>
      <c r="D29" s="381"/>
      <c r="E29" s="381"/>
      <c r="F29" s="381"/>
      <c r="G29" s="381"/>
      <c r="H29" s="381"/>
      <c r="I29" s="381"/>
      <c r="J29" s="228"/>
      <c r="K29" s="228"/>
      <c r="L29" s="228"/>
      <c r="M29" s="228"/>
      <c r="N29" s="228"/>
      <c r="O29" s="228"/>
      <c r="P29" s="228"/>
      <c r="Q29" s="228"/>
      <c r="R29" s="228"/>
      <c r="S29" s="228"/>
      <c r="T29" s="228"/>
    </row>
    <row r="30" spans="1:20" s="79" customFormat="1" x14ac:dyDescent="0.2">
      <c r="A30" s="382" t="s">
        <v>142</v>
      </c>
      <c r="B30" s="90"/>
      <c r="C30" s="209"/>
      <c r="D30" s="210"/>
      <c r="E30" s="210"/>
      <c r="F30" s="210"/>
      <c r="G30" s="210"/>
      <c r="H30" s="210"/>
      <c r="I30" s="210"/>
      <c r="J30" s="228"/>
      <c r="K30" s="228"/>
      <c r="L30" s="228"/>
      <c r="M30" s="228"/>
      <c r="N30" s="228"/>
      <c r="O30" s="228"/>
      <c r="P30" s="228"/>
      <c r="Q30" s="228"/>
      <c r="R30" s="228"/>
      <c r="S30" s="228"/>
      <c r="T30" s="228"/>
    </row>
    <row r="31" spans="1:20" s="79" customFormat="1" ht="37.5" x14ac:dyDescent="0.2">
      <c r="A31" s="383" t="s">
        <v>143</v>
      </c>
      <c r="B31" s="90" t="s">
        <v>6</v>
      </c>
      <c r="C31" s="384">
        <v>1895.5319999999999</v>
      </c>
      <c r="D31" s="384">
        <f>D34+D37+D40+D43</f>
        <v>2011.0890000000002</v>
      </c>
      <c r="E31" s="385">
        <f t="shared" ref="E31:F31" si="7">E34+E37+E40+E43</f>
        <v>2094.0371529999998</v>
      </c>
      <c r="F31" s="385">
        <f t="shared" si="7"/>
        <v>2183.4704053380001</v>
      </c>
      <c r="G31" s="385">
        <f>G34+G37+G40+G43</f>
        <v>2183.4704053380001</v>
      </c>
      <c r="H31" s="385">
        <f t="shared" ref="H31:I31" si="8">H34+H37+H40+H43</f>
        <v>2268.2079304839199</v>
      </c>
      <c r="I31" s="385">
        <f t="shared" si="8"/>
        <v>2354.0340675826774</v>
      </c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</row>
    <row r="32" spans="1:20" s="79" customFormat="1" x14ac:dyDescent="0.2">
      <c r="A32" s="383" t="s">
        <v>270</v>
      </c>
      <c r="B32" s="90" t="s">
        <v>8</v>
      </c>
      <c r="C32" s="384">
        <v>115</v>
      </c>
      <c r="D32" s="385">
        <f>'Прил 2 (расчет ИФО) (2)'!R111</f>
        <v>111.83707738186794</v>
      </c>
      <c r="E32" s="385">
        <f>'Прил 2 (расчет ИФО) (2)'!S111</f>
        <v>105.93843399381797</v>
      </c>
      <c r="F32" s="385">
        <f>'Прил 2 (расчет ИФО) (2)'!T111</f>
        <v>103.27570623691736</v>
      </c>
      <c r="G32" s="385">
        <f>F32</f>
        <v>103.27570623691736</v>
      </c>
      <c r="H32" s="385">
        <f>'Прил 2 (расчет ИФО) (2)'!U111</f>
        <v>103.08620666132498</v>
      </c>
      <c r="I32" s="385">
        <f>'Прил 2 (расчет ИФО) (2)'!V111</f>
        <v>102.99284300372101</v>
      </c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</row>
    <row r="33" spans="1:20" s="79" customFormat="1" x14ac:dyDescent="0.2">
      <c r="A33" s="382" t="s">
        <v>144</v>
      </c>
      <c r="B33" s="90"/>
      <c r="C33" s="384"/>
      <c r="D33" s="384"/>
      <c r="E33" s="384"/>
      <c r="F33" s="384"/>
      <c r="G33" s="384"/>
      <c r="H33" s="384"/>
      <c r="I33" s="384"/>
      <c r="J33" s="228"/>
      <c r="K33" s="228"/>
      <c r="L33" s="228"/>
      <c r="M33" s="228"/>
      <c r="N33" s="228"/>
      <c r="O33" s="228"/>
      <c r="P33" s="228"/>
      <c r="Q33" s="228"/>
      <c r="R33" s="228"/>
      <c r="S33" s="228"/>
      <c r="T33" s="228"/>
    </row>
    <row r="34" spans="1:20" s="79" customFormat="1" ht="37.5" x14ac:dyDescent="0.2">
      <c r="A34" s="383" t="s">
        <v>145</v>
      </c>
      <c r="B34" s="90" t="s">
        <v>6</v>
      </c>
      <c r="C34" s="384">
        <v>369.952</v>
      </c>
      <c r="D34" s="214">
        <f>D14</f>
        <v>405.09699999999998</v>
      </c>
      <c r="E34" s="214">
        <f t="shared" ref="E34" si="9">E14</f>
        <v>428.592626</v>
      </c>
      <c r="F34" s="214">
        <f>F14</f>
        <v>441.45040477999999</v>
      </c>
      <c r="G34" s="214">
        <f>G14</f>
        <v>441.45040477999999</v>
      </c>
      <c r="H34" s="214">
        <f>H14</f>
        <v>453.81101611383997</v>
      </c>
      <c r="I34" s="214">
        <f>I14</f>
        <v>466.0639135489136</v>
      </c>
      <c r="J34" s="228"/>
      <c r="K34" s="228"/>
      <c r="L34" s="228"/>
      <c r="M34" s="228"/>
      <c r="N34" s="228"/>
      <c r="O34" s="228"/>
      <c r="P34" s="228"/>
      <c r="Q34" s="228"/>
      <c r="R34" s="228"/>
      <c r="S34" s="228"/>
      <c r="T34" s="228"/>
    </row>
    <row r="35" spans="1:20" s="79" customFormat="1" x14ac:dyDescent="0.2">
      <c r="A35" s="383" t="s">
        <v>0</v>
      </c>
      <c r="B35" s="90" t="s">
        <v>8</v>
      </c>
      <c r="C35" s="384">
        <v>117.35</v>
      </c>
      <c r="D35" s="385">
        <f>'Прил 2 (расчет ИФО) (2)'!R20</f>
        <v>113.73637186272292</v>
      </c>
      <c r="E35" s="385">
        <f>'Прил 2 (расчет ИФО) (2)'!S20</f>
        <v>105.80000000000003</v>
      </c>
      <c r="F35" s="385">
        <f>'Прил 2 (расчет ИФО) (2)'!T20</f>
        <v>103</v>
      </c>
      <c r="G35" s="385">
        <f>'Прил 2 (расчет ИФО) (2)'!U20</f>
        <v>102.8</v>
      </c>
      <c r="H35" s="385">
        <f>G35</f>
        <v>102.8</v>
      </c>
      <c r="I35" s="385">
        <f>'Прил 2 (расчет ИФО) (2)'!V20</f>
        <v>102.69999999999999</v>
      </c>
      <c r="J35" s="228"/>
      <c r="K35" s="228"/>
      <c r="L35" s="228"/>
      <c r="M35" s="228"/>
      <c r="N35" s="228"/>
      <c r="O35" s="228"/>
      <c r="P35" s="228"/>
      <c r="Q35" s="228"/>
      <c r="R35" s="228"/>
      <c r="S35" s="228"/>
      <c r="T35" s="228"/>
    </row>
    <row r="36" spans="1:20" s="79" customFormat="1" ht="37.5" customHeight="1" x14ac:dyDescent="0.2">
      <c r="A36" s="382" t="s">
        <v>146</v>
      </c>
      <c r="B36" s="90"/>
      <c r="C36" s="384"/>
      <c r="D36" s="384"/>
      <c r="E36" s="384"/>
      <c r="F36" s="384"/>
      <c r="G36" s="384"/>
      <c r="H36" s="384"/>
      <c r="I36" s="384"/>
      <c r="J36" s="228"/>
      <c r="K36" s="228"/>
      <c r="L36" s="228"/>
      <c r="M36" s="228"/>
      <c r="N36" s="228"/>
      <c r="O36" s="228"/>
      <c r="P36" s="228"/>
      <c r="Q36" s="228"/>
      <c r="R36" s="228"/>
      <c r="S36" s="228"/>
      <c r="T36" s="228"/>
    </row>
    <row r="37" spans="1:20" s="79" customFormat="1" ht="37.5" x14ac:dyDescent="0.2">
      <c r="A37" s="383" t="s">
        <v>145</v>
      </c>
      <c r="B37" s="90" t="s">
        <v>6</v>
      </c>
      <c r="C37" s="384">
        <v>619.53300000000002</v>
      </c>
      <c r="D37" s="214">
        <f>D15</f>
        <v>753.85199999999998</v>
      </c>
      <c r="E37" s="214">
        <f t="shared" ref="E37:I37" si="10">E15</f>
        <v>758.37511199999994</v>
      </c>
      <c r="F37" s="214">
        <f t="shared" si="10"/>
        <v>795.53549248799993</v>
      </c>
      <c r="G37" s="214">
        <f t="shared" si="10"/>
        <v>795.53549248799993</v>
      </c>
      <c r="H37" s="214">
        <f t="shared" si="10"/>
        <v>827.35691218751992</v>
      </c>
      <c r="I37" s="214">
        <f t="shared" si="10"/>
        <v>859.62383176283311</v>
      </c>
      <c r="J37" s="228"/>
      <c r="K37" s="228"/>
      <c r="L37" s="228"/>
      <c r="M37" s="228"/>
      <c r="N37" s="228"/>
      <c r="O37" s="228"/>
      <c r="P37" s="228"/>
      <c r="Q37" s="228"/>
      <c r="R37" s="228"/>
      <c r="S37" s="228"/>
      <c r="T37" s="228"/>
    </row>
    <row r="38" spans="1:20" s="79" customFormat="1" x14ac:dyDescent="0.2">
      <c r="A38" s="383" t="s">
        <v>0</v>
      </c>
      <c r="B38" s="90" t="s">
        <v>8</v>
      </c>
      <c r="C38" s="384">
        <v>125</v>
      </c>
      <c r="D38" s="385">
        <f>'Прил 2 (расчет ИФО) (2)'!R103</f>
        <v>115.34968132884273</v>
      </c>
      <c r="E38" s="385">
        <f>'Прил 2 (расчет ИФО) (2)'!S103</f>
        <v>104.4</v>
      </c>
      <c r="F38" s="385">
        <f>'Прил 2 (расчет ИФО) (2)'!T103</f>
        <v>104</v>
      </c>
      <c r="G38" s="385">
        <f>F38</f>
        <v>104</v>
      </c>
      <c r="H38" s="385">
        <f>'Прил 2 (расчет ИФО) (2)'!U103</f>
        <v>102.89999999999999</v>
      </c>
      <c r="I38" s="385">
        <f>'Прил 2 (расчет ИФО) (2)'!V103</f>
        <v>102.89999999999999</v>
      </c>
      <c r="J38" s="228"/>
      <c r="K38" s="228"/>
      <c r="L38" s="228"/>
      <c r="M38" s="228"/>
      <c r="N38" s="228"/>
      <c r="O38" s="228"/>
      <c r="P38" s="228"/>
      <c r="Q38" s="228"/>
      <c r="R38" s="228"/>
      <c r="S38" s="228"/>
      <c r="T38" s="228"/>
    </row>
    <row r="39" spans="1:20" s="79" customFormat="1" ht="37.5" x14ac:dyDescent="0.2">
      <c r="A39" s="386" t="s">
        <v>147</v>
      </c>
      <c r="B39" s="90"/>
      <c r="C39" s="384"/>
      <c r="D39" s="384"/>
      <c r="E39" s="387"/>
      <c r="F39" s="387"/>
      <c r="G39" s="384"/>
      <c r="H39" s="387"/>
      <c r="I39" s="384"/>
      <c r="J39" s="228"/>
      <c r="K39" s="228"/>
      <c r="L39" s="228"/>
      <c r="M39" s="228"/>
      <c r="N39" s="228"/>
      <c r="O39" s="228"/>
      <c r="P39" s="228"/>
      <c r="Q39" s="228"/>
      <c r="R39" s="228"/>
      <c r="S39" s="228"/>
      <c r="T39" s="228"/>
    </row>
    <row r="40" spans="1:20" s="79" customFormat="1" ht="37.5" x14ac:dyDescent="0.2">
      <c r="A40" s="383" t="s">
        <v>148</v>
      </c>
      <c r="B40" s="90" t="s">
        <v>6</v>
      </c>
      <c r="C40" s="384">
        <v>798.11699999999996</v>
      </c>
      <c r="D40" s="214">
        <f>D16</f>
        <v>721.005</v>
      </c>
      <c r="E40" s="214">
        <f t="shared" ref="E40:I40" si="11">E16</f>
        <v>770.03334000000007</v>
      </c>
      <c r="F40" s="214">
        <f t="shared" si="11"/>
        <v>803.14477362000002</v>
      </c>
      <c r="G40" s="214">
        <f t="shared" si="11"/>
        <v>803.14477362000002</v>
      </c>
      <c r="H40" s="214">
        <f t="shared" si="11"/>
        <v>837.67999888565998</v>
      </c>
      <c r="I40" s="214">
        <f t="shared" si="11"/>
        <v>872.86255883885769</v>
      </c>
      <c r="J40" s="228"/>
      <c r="K40" s="228"/>
      <c r="L40" s="228"/>
      <c r="M40" s="228"/>
      <c r="N40" s="228"/>
      <c r="O40" s="228"/>
      <c r="P40" s="228"/>
      <c r="Q40" s="228"/>
      <c r="R40" s="228"/>
      <c r="S40" s="228"/>
      <c r="T40" s="228"/>
    </row>
    <row r="41" spans="1:20" s="79" customFormat="1" x14ac:dyDescent="0.2">
      <c r="A41" s="383" t="s">
        <v>0</v>
      </c>
      <c r="B41" s="90" t="s">
        <v>8</v>
      </c>
      <c r="C41" s="384">
        <v>105.6</v>
      </c>
      <c r="D41" s="388">
        <f>'Прил 2 (расчет ИФО) (2)'!R110</f>
        <v>103.94417593404661</v>
      </c>
      <c r="E41" s="388">
        <f>'Прил 2 (расчет ИФО) (2)'!S110</f>
        <v>106.80000000000001</v>
      </c>
      <c r="F41" s="388">
        <f>'Прил 2 (расчет ИФО) (2)'!T110</f>
        <v>104.3</v>
      </c>
      <c r="G41" s="385">
        <f>'Прил 2 (расчет ИФО) (2)'!U110</f>
        <v>104.3</v>
      </c>
      <c r="H41" s="388">
        <f>G41</f>
        <v>104.3</v>
      </c>
      <c r="I41" s="385">
        <f>'Прил 2 (расчет ИФО) (2)'!V110</f>
        <v>104.2</v>
      </c>
      <c r="J41" s="228"/>
      <c r="K41" s="228"/>
      <c r="L41" s="228"/>
      <c r="M41" s="228"/>
      <c r="N41" s="228"/>
      <c r="O41" s="228"/>
      <c r="P41" s="228"/>
      <c r="Q41" s="228"/>
      <c r="R41" s="228"/>
      <c r="S41" s="228"/>
      <c r="T41" s="228"/>
    </row>
    <row r="42" spans="1:20" s="79" customFormat="1" ht="56.25" x14ac:dyDescent="0.2">
      <c r="A42" s="386" t="s">
        <v>149</v>
      </c>
      <c r="B42" s="90"/>
      <c r="C42" s="384"/>
      <c r="D42" s="210"/>
      <c r="E42" s="389"/>
      <c r="F42" s="389"/>
      <c r="G42" s="210"/>
      <c r="H42" s="389"/>
      <c r="I42" s="210"/>
      <c r="J42" s="228"/>
      <c r="K42" s="228"/>
      <c r="L42" s="228"/>
      <c r="M42" s="228"/>
      <c r="N42" s="228"/>
      <c r="O42" s="228"/>
      <c r="P42" s="228"/>
      <c r="Q42" s="228"/>
      <c r="R42" s="228"/>
      <c r="S42" s="228"/>
      <c r="T42" s="228"/>
    </row>
    <row r="43" spans="1:20" s="79" customFormat="1" ht="37.5" x14ac:dyDescent="0.2">
      <c r="A43" s="383" t="s">
        <v>148</v>
      </c>
      <c r="B43" s="90" t="s">
        <v>6</v>
      </c>
      <c r="C43" s="384">
        <v>107.93</v>
      </c>
      <c r="D43" s="214">
        <f>D17</f>
        <v>131.13499999999999</v>
      </c>
      <c r="E43" s="214">
        <f t="shared" ref="E43:I43" si="12">E17</f>
        <v>137.03607499999998</v>
      </c>
      <c r="F43" s="214">
        <f t="shared" si="12"/>
        <v>143.33973444999998</v>
      </c>
      <c r="G43" s="214">
        <f t="shared" si="12"/>
        <v>143.33973444999998</v>
      </c>
      <c r="H43" s="214">
        <f t="shared" si="12"/>
        <v>149.36000329689998</v>
      </c>
      <c r="I43" s="214">
        <f t="shared" si="12"/>
        <v>155.48376343207286</v>
      </c>
      <c r="J43" s="228"/>
      <c r="K43" s="228"/>
      <c r="L43" s="228"/>
      <c r="M43" s="228"/>
      <c r="N43" s="228"/>
      <c r="O43" s="228"/>
      <c r="P43" s="228"/>
      <c r="Q43" s="228"/>
      <c r="R43" s="228"/>
      <c r="S43" s="228"/>
      <c r="T43" s="228"/>
    </row>
    <row r="44" spans="1:20" s="79" customFormat="1" ht="37.5" x14ac:dyDescent="0.2">
      <c r="A44" s="390" t="s">
        <v>150</v>
      </c>
      <c r="B44" s="391"/>
      <c r="C44" s="209"/>
      <c r="D44" s="210"/>
      <c r="E44" s="389"/>
      <c r="F44" s="389"/>
      <c r="G44" s="210"/>
      <c r="H44" s="389"/>
      <c r="I44" s="210"/>
      <c r="J44" s="228"/>
      <c r="K44" s="228"/>
      <c r="L44" s="228"/>
      <c r="M44" s="228"/>
      <c r="N44" s="228"/>
      <c r="O44" s="228"/>
      <c r="P44" s="228"/>
      <c r="Q44" s="228"/>
      <c r="R44" s="228"/>
      <c r="S44" s="228"/>
      <c r="T44" s="228"/>
    </row>
    <row r="45" spans="1:20" s="79" customFormat="1" x14ac:dyDescent="0.2">
      <c r="A45" s="71" t="s">
        <v>11</v>
      </c>
      <c r="B45" s="90" t="s">
        <v>6</v>
      </c>
      <c r="C45" s="209"/>
      <c r="D45" s="210"/>
      <c r="E45" s="210"/>
      <c r="F45" s="210"/>
      <c r="G45" s="392"/>
      <c r="H45" s="210"/>
      <c r="I45" s="392"/>
      <c r="J45" s="228"/>
      <c r="K45" s="228"/>
      <c r="L45" s="228"/>
      <c r="M45" s="228"/>
      <c r="N45" s="228"/>
      <c r="O45" s="228"/>
      <c r="P45" s="228"/>
      <c r="Q45" s="228"/>
      <c r="R45" s="228"/>
      <c r="S45" s="228"/>
      <c r="T45" s="228"/>
    </row>
    <row r="46" spans="1:20" s="79" customFormat="1" x14ac:dyDescent="0.2">
      <c r="A46" s="71" t="s">
        <v>151</v>
      </c>
      <c r="B46" s="90" t="s">
        <v>8</v>
      </c>
      <c r="C46" s="209"/>
      <c r="D46" s="210"/>
      <c r="E46" s="210"/>
      <c r="F46" s="210"/>
      <c r="G46" s="210"/>
      <c r="H46" s="210"/>
      <c r="I46" s="210"/>
      <c r="J46" s="228"/>
      <c r="K46" s="228"/>
      <c r="L46" s="228"/>
      <c r="M46" s="228"/>
      <c r="N46" s="228"/>
      <c r="O46" s="228"/>
      <c r="P46" s="228"/>
      <c r="Q46" s="228"/>
      <c r="R46" s="228"/>
      <c r="S46" s="228"/>
      <c r="T46" s="228"/>
    </row>
    <row r="47" spans="1:20" s="79" customFormat="1" x14ac:dyDescent="0.2">
      <c r="A47" s="390" t="s">
        <v>152</v>
      </c>
      <c r="B47" s="391"/>
      <c r="C47" s="209"/>
      <c r="D47" s="210"/>
      <c r="E47" s="389"/>
      <c r="F47" s="389"/>
      <c r="G47" s="210"/>
      <c r="H47" s="389"/>
      <c r="I47" s="210"/>
      <c r="J47" s="228"/>
      <c r="K47" s="228"/>
      <c r="L47" s="228"/>
      <c r="M47" s="228"/>
      <c r="N47" s="228"/>
      <c r="O47" s="228"/>
      <c r="P47" s="228"/>
      <c r="Q47" s="228"/>
      <c r="R47" s="228"/>
      <c r="S47" s="228"/>
      <c r="T47" s="228"/>
    </row>
    <row r="48" spans="1:20" s="79" customFormat="1" x14ac:dyDescent="0.2">
      <c r="A48" s="71" t="s">
        <v>153</v>
      </c>
      <c r="B48" s="90" t="s">
        <v>6</v>
      </c>
      <c r="C48" s="384">
        <v>1384.3330000000001</v>
      </c>
      <c r="D48" s="385">
        <f>D18</f>
        <v>1168.711</v>
      </c>
      <c r="E48" s="385">
        <f>E18</f>
        <v>1218.9655729999999</v>
      </c>
      <c r="F48" s="385">
        <f t="shared" ref="F48:I48" si="13">F18</f>
        <v>1276.2569549309999</v>
      </c>
      <c r="G48" s="385">
        <f t="shared" si="13"/>
        <v>1276.2569549309999</v>
      </c>
      <c r="H48" s="385">
        <f t="shared" si="13"/>
        <v>1331.1360039930328</v>
      </c>
      <c r="I48" s="385">
        <f t="shared" si="13"/>
        <v>1380.3880361407748</v>
      </c>
      <c r="J48" s="228"/>
      <c r="K48" s="228"/>
      <c r="L48" s="228"/>
      <c r="M48" s="228"/>
      <c r="N48" s="228"/>
      <c r="O48" s="228"/>
      <c r="P48" s="228"/>
      <c r="Q48" s="228"/>
      <c r="R48" s="228"/>
      <c r="S48" s="228"/>
      <c r="T48" s="228"/>
    </row>
    <row r="49" spans="1:20" s="79" customFormat="1" x14ac:dyDescent="0.2">
      <c r="A49" s="71" t="s">
        <v>13</v>
      </c>
      <c r="B49" s="90" t="s">
        <v>14</v>
      </c>
      <c r="C49" s="384">
        <v>6166</v>
      </c>
      <c r="D49" s="384">
        <v>14311</v>
      </c>
      <c r="E49" s="384">
        <f>2154*4</f>
        <v>8616</v>
      </c>
      <c r="F49" s="384">
        <f>E49</f>
        <v>8616</v>
      </c>
      <c r="G49" s="384">
        <f t="shared" ref="G49:I49" si="14">F49</f>
        <v>8616</v>
      </c>
      <c r="H49" s="384">
        <f t="shared" si="14"/>
        <v>8616</v>
      </c>
      <c r="I49" s="384">
        <f t="shared" si="14"/>
        <v>8616</v>
      </c>
      <c r="J49" s="228"/>
      <c r="K49" s="228"/>
      <c r="L49" s="228"/>
      <c r="M49" s="228"/>
      <c r="N49" s="228"/>
      <c r="O49" s="228"/>
      <c r="P49" s="228"/>
      <c r="Q49" s="228"/>
      <c r="R49" s="228"/>
      <c r="S49" s="228"/>
      <c r="T49" s="228"/>
    </row>
    <row r="50" spans="1:20" s="79" customFormat="1" x14ac:dyDescent="0.2">
      <c r="A50" s="71" t="s">
        <v>15</v>
      </c>
      <c r="B50" s="90" t="s">
        <v>14</v>
      </c>
      <c r="C50" s="384">
        <v>0.15809999999999999</v>
      </c>
      <c r="D50" s="384">
        <v>0.36980000000000002</v>
      </c>
      <c r="E50" s="214">
        <f>E49/E79/1000</f>
        <v>0.22263565891472867</v>
      </c>
      <c r="F50" s="214">
        <f t="shared" ref="F50:I50" si="15">F49/F79/1000</f>
        <v>0.22308182255984835</v>
      </c>
      <c r="G50" s="214">
        <f t="shared" si="15"/>
        <v>0.22263565891472867</v>
      </c>
      <c r="H50" s="214">
        <f t="shared" si="15"/>
        <v>0.22263565891472867</v>
      </c>
      <c r="I50" s="214">
        <f t="shared" si="15"/>
        <v>0.22263565891472867</v>
      </c>
      <c r="J50" s="228"/>
      <c r="K50" s="228"/>
      <c r="L50" s="228"/>
      <c r="M50" s="228"/>
      <c r="N50" s="228"/>
      <c r="O50" s="228"/>
      <c r="P50" s="228"/>
      <c r="Q50" s="228"/>
      <c r="R50" s="228"/>
      <c r="S50" s="228"/>
      <c r="T50" s="228"/>
    </row>
    <row r="51" spans="1:20" s="79" customFormat="1" x14ac:dyDescent="0.2">
      <c r="A51" s="390" t="s">
        <v>154</v>
      </c>
      <c r="B51" s="391"/>
      <c r="C51" s="384"/>
      <c r="D51" s="210"/>
      <c r="E51" s="389"/>
      <c r="F51" s="389"/>
      <c r="G51" s="210"/>
      <c r="H51" s="389"/>
      <c r="I51" s="210"/>
      <c r="J51" s="228"/>
      <c r="K51" s="228"/>
      <c r="L51" s="228"/>
      <c r="M51" s="228"/>
      <c r="N51" s="228"/>
      <c r="O51" s="228"/>
      <c r="P51" s="228"/>
      <c r="Q51" s="228"/>
      <c r="R51" s="228"/>
      <c r="S51" s="228"/>
      <c r="T51" s="228"/>
    </row>
    <row r="52" spans="1:20" s="79" customFormat="1" x14ac:dyDescent="0.2">
      <c r="A52" s="71" t="s">
        <v>155</v>
      </c>
      <c r="B52" s="90" t="s">
        <v>156</v>
      </c>
      <c r="C52" s="384">
        <v>19135.3</v>
      </c>
      <c r="D52" s="384">
        <v>11296.2</v>
      </c>
      <c r="E52" s="384">
        <f>1880.4*4</f>
        <v>7521.6</v>
      </c>
      <c r="F52" s="384">
        <f t="shared" ref="F52:I52" si="16">1880.4*4</f>
        <v>7521.6</v>
      </c>
      <c r="G52" s="384">
        <f t="shared" si="16"/>
        <v>7521.6</v>
      </c>
      <c r="H52" s="384">
        <f t="shared" si="16"/>
        <v>7521.6</v>
      </c>
      <c r="I52" s="384">
        <f t="shared" si="16"/>
        <v>7521.6</v>
      </c>
      <c r="J52" s="228"/>
      <c r="K52" s="228"/>
      <c r="L52" s="228"/>
      <c r="M52" s="228"/>
      <c r="N52" s="228"/>
      <c r="O52" s="228"/>
      <c r="P52" s="228"/>
      <c r="Q52" s="228"/>
      <c r="R52" s="228"/>
      <c r="S52" s="228"/>
      <c r="T52" s="228"/>
    </row>
    <row r="53" spans="1:20" s="79" customFormat="1" x14ac:dyDescent="0.2">
      <c r="A53" s="71" t="s">
        <v>157</v>
      </c>
      <c r="B53" s="90" t="s">
        <v>158</v>
      </c>
      <c r="C53" s="384">
        <v>5532.11</v>
      </c>
      <c r="D53" s="384">
        <v>7870.4</v>
      </c>
      <c r="E53" s="384">
        <f>1583.6*4</f>
        <v>6334.4</v>
      </c>
      <c r="F53" s="384">
        <f>E53</f>
        <v>6334.4</v>
      </c>
      <c r="G53" s="384">
        <f t="shared" ref="G53:I53" si="17">F53</f>
        <v>6334.4</v>
      </c>
      <c r="H53" s="384">
        <f t="shared" si="17"/>
        <v>6334.4</v>
      </c>
      <c r="I53" s="384">
        <f t="shared" si="17"/>
        <v>6334.4</v>
      </c>
      <c r="J53" s="228"/>
      <c r="K53" s="228"/>
      <c r="L53" s="228"/>
      <c r="M53" s="228"/>
      <c r="N53" s="228"/>
      <c r="O53" s="228"/>
      <c r="P53" s="228"/>
      <c r="Q53" s="228"/>
      <c r="R53" s="228"/>
      <c r="S53" s="228"/>
      <c r="T53" s="228"/>
    </row>
    <row r="54" spans="1:20" s="79" customFormat="1" ht="37.5" x14ac:dyDescent="0.2">
      <c r="A54" s="390" t="s">
        <v>159</v>
      </c>
      <c r="B54" s="90"/>
      <c r="C54" s="384"/>
      <c r="D54" s="210"/>
      <c r="E54" s="210"/>
      <c r="F54" s="210"/>
      <c r="G54" s="210"/>
      <c r="H54" s="210"/>
      <c r="I54" s="210"/>
      <c r="J54" s="228"/>
      <c r="K54" s="228"/>
      <c r="L54" s="228"/>
      <c r="M54" s="228"/>
      <c r="N54" s="228"/>
      <c r="O54" s="228"/>
      <c r="P54" s="228"/>
      <c r="Q54" s="228"/>
      <c r="R54" s="228"/>
      <c r="S54" s="228"/>
      <c r="T54" s="228"/>
    </row>
    <row r="55" spans="1:20" s="79" customFormat="1" x14ac:dyDescent="0.2">
      <c r="A55" s="71" t="s">
        <v>17</v>
      </c>
      <c r="B55" s="90" t="s">
        <v>6</v>
      </c>
      <c r="C55" s="384">
        <v>6504.598</v>
      </c>
      <c r="D55" s="393">
        <f>D19</f>
        <v>4465.9139999999998</v>
      </c>
      <c r="E55" s="214">
        <f>E19</f>
        <v>4702.6074419999995</v>
      </c>
      <c r="F55" s="214">
        <f t="shared" ref="F55:I55" si="18">F19</f>
        <v>4867.1987024699993</v>
      </c>
      <c r="G55" s="214">
        <f t="shared" si="18"/>
        <v>4867.1987024699993</v>
      </c>
      <c r="H55" s="214">
        <f t="shared" si="18"/>
        <v>5037.5506570564485</v>
      </c>
      <c r="I55" s="214">
        <f t="shared" si="18"/>
        <v>5218.9024807104806</v>
      </c>
      <c r="J55" s="228"/>
      <c r="K55" s="228"/>
      <c r="L55" s="228"/>
      <c r="M55" s="228"/>
      <c r="N55" s="228"/>
      <c r="O55" s="228"/>
      <c r="P55" s="228"/>
      <c r="Q55" s="228"/>
      <c r="R55" s="228"/>
      <c r="S55" s="228"/>
      <c r="T55" s="228"/>
    </row>
    <row r="56" spans="1:20" s="79" customFormat="1" x14ac:dyDescent="0.2">
      <c r="A56" s="71" t="s">
        <v>18</v>
      </c>
      <c r="B56" s="90" t="s">
        <v>8</v>
      </c>
      <c r="C56" s="384"/>
      <c r="D56" s="210"/>
      <c r="E56" s="210"/>
      <c r="F56" s="210"/>
      <c r="G56" s="210"/>
      <c r="H56" s="210"/>
      <c r="I56" s="210"/>
      <c r="J56" s="228"/>
      <c r="K56" s="228"/>
      <c r="L56" s="228"/>
      <c r="M56" s="228"/>
      <c r="N56" s="228"/>
      <c r="O56" s="228"/>
      <c r="P56" s="228"/>
      <c r="Q56" s="228"/>
      <c r="R56" s="228"/>
      <c r="S56" s="228"/>
      <c r="T56" s="228"/>
    </row>
    <row r="57" spans="1:20" s="79" customFormat="1" x14ac:dyDescent="0.2">
      <c r="A57" s="390" t="s">
        <v>19</v>
      </c>
      <c r="B57" s="391"/>
      <c r="C57" s="384"/>
      <c r="D57" s="210"/>
      <c r="E57" s="210"/>
      <c r="F57" s="210"/>
      <c r="G57" s="210"/>
      <c r="H57" s="210"/>
      <c r="I57" s="210"/>
      <c r="J57" s="228"/>
      <c r="K57" s="228"/>
      <c r="L57" s="228"/>
      <c r="M57" s="228"/>
      <c r="N57" s="228"/>
      <c r="O57" s="228"/>
      <c r="P57" s="228"/>
      <c r="Q57" s="228"/>
      <c r="R57" s="228"/>
      <c r="S57" s="228"/>
      <c r="T57" s="228"/>
    </row>
    <row r="58" spans="1:20" s="79" customFormat="1" x14ac:dyDescent="0.2">
      <c r="A58" s="71" t="s">
        <v>160</v>
      </c>
      <c r="B58" s="90" t="s">
        <v>20</v>
      </c>
      <c r="C58" s="370">
        <v>278</v>
      </c>
      <c r="D58" s="370">
        <v>266</v>
      </c>
      <c r="E58" s="394">
        <f>D58*94%</f>
        <v>250.04</v>
      </c>
      <c r="F58" s="394">
        <f>E58</f>
        <v>250.04</v>
      </c>
      <c r="G58" s="394">
        <v>250</v>
      </c>
      <c r="H58" s="394">
        <f>F58</f>
        <v>250.04</v>
      </c>
      <c r="I58" s="394">
        <f t="shared" ref="I58" si="19">H58</f>
        <v>250.04</v>
      </c>
      <c r="J58" s="228"/>
      <c r="K58" s="228"/>
      <c r="L58" s="228"/>
      <c r="M58" s="228"/>
      <c r="N58" s="228"/>
      <c r="O58" s="228"/>
      <c r="P58" s="228"/>
      <c r="Q58" s="228"/>
      <c r="R58" s="228"/>
      <c r="S58" s="228"/>
      <c r="T58" s="228"/>
    </row>
    <row r="59" spans="1:20" s="79" customFormat="1" x14ac:dyDescent="0.2">
      <c r="A59" s="71" t="s">
        <v>62</v>
      </c>
      <c r="B59" s="90"/>
      <c r="C59" s="384"/>
      <c r="D59" s="384"/>
      <c r="E59" s="384"/>
      <c r="F59" s="210"/>
      <c r="G59" s="392"/>
      <c r="H59" s="210"/>
      <c r="I59" s="392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</row>
    <row r="60" spans="1:20" s="79" customFormat="1" ht="37.5" x14ac:dyDescent="0.2">
      <c r="A60" s="71" t="s">
        <v>269</v>
      </c>
      <c r="B60" s="90" t="s">
        <v>20</v>
      </c>
      <c r="C60" s="384">
        <v>13</v>
      </c>
      <c r="D60" s="384">
        <v>11</v>
      </c>
      <c r="E60" s="384">
        <f t="shared" ref="E60:I74" si="20">D60</f>
        <v>11</v>
      </c>
      <c r="F60" s="384">
        <f t="shared" si="20"/>
        <v>11</v>
      </c>
      <c r="G60" s="384">
        <f t="shared" si="20"/>
        <v>11</v>
      </c>
      <c r="H60" s="384">
        <f t="shared" si="20"/>
        <v>11</v>
      </c>
      <c r="I60" s="384">
        <f t="shared" si="20"/>
        <v>11</v>
      </c>
      <c r="J60" s="228"/>
      <c r="K60" s="228"/>
      <c r="L60" s="228"/>
      <c r="M60" s="228"/>
      <c r="N60" s="228"/>
      <c r="O60" s="228"/>
      <c r="P60" s="228"/>
      <c r="Q60" s="228"/>
      <c r="R60" s="228"/>
      <c r="S60" s="228"/>
      <c r="T60" s="228"/>
    </row>
    <row r="61" spans="1:20" s="79" customFormat="1" ht="37.5" x14ac:dyDescent="0.2">
      <c r="A61" s="71" t="s">
        <v>136</v>
      </c>
      <c r="B61" s="90" t="s">
        <v>20</v>
      </c>
      <c r="C61" s="384"/>
      <c r="D61" s="384"/>
      <c r="E61" s="384"/>
      <c r="F61" s="210"/>
      <c r="G61" s="392"/>
      <c r="H61" s="210"/>
      <c r="I61" s="392"/>
      <c r="J61" s="228"/>
      <c r="K61" s="228"/>
      <c r="L61" s="228"/>
      <c r="M61" s="228"/>
      <c r="N61" s="228"/>
      <c r="O61" s="228"/>
      <c r="P61" s="228"/>
      <c r="Q61" s="228"/>
      <c r="R61" s="228"/>
      <c r="S61" s="228"/>
      <c r="T61" s="228"/>
    </row>
    <row r="62" spans="1:20" s="79" customFormat="1" x14ac:dyDescent="0.2">
      <c r="A62" s="71" t="s">
        <v>137</v>
      </c>
      <c r="B62" s="90" t="s">
        <v>20</v>
      </c>
      <c r="C62" s="384"/>
      <c r="D62" s="384"/>
      <c r="E62" s="384"/>
      <c r="F62" s="210"/>
      <c r="G62" s="392"/>
      <c r="H62" s="210"/>
      <c r="I62" s="392"/>
      <c r="J62" s="228"/>
      <c r="K62" s="228"/>
      <c r="L62" s="228"/>
      <c r="M62" s="228"/>
      <c r="N62" s="228"/>
      <c r="O62" s="228"/>
      <c r="P62" s="228"/>
      <c r="Q62" s="228"/>
      <c r="R62" s="228"/>
      <c r="S62" s="228"/>
      <c r="T62" s="228"/>
    </row>
    <row r="63" spans="1:20" s="79" customFormat="1" x14ac:dyDescent="0.2">
      <c r="A63" s="71" t="s">
        <v>138</v>
      </c>
      <c r="B63" s="90" t="s">
        <v>20</v>
      </c>
      <c r="C63" s="384"/>
      <c r="D63" s="384"/>
      <c r="E63" s="384"/>
      <c r="F63" s="210"/>
      <c r="G63" s="392"/>
      <c r="H63" s="210"/>
      <c r="I63" s="392"/>
      <c r="J63" s="228"/>
      <c r="K63" s="228"/>
      <c r="L63" s="228"/>
      <c r="M63" s="228"/>
      <c r="N63" s="228"/>
      <c r="O63" s="228"/>
      <c r="P63" s="228"/>
      <c r="Q63" s="228"/>
      <c r="R63" s="228"/>
      <c r="S63" s="228"/>
      <c r="T63" s="228"/>
    </row>
    <row r="64" spans="1:20" s="79" customFormat="1" ht="20.25" customHeight="1" x14ac:dyDescent="0.2">
      <c r="A64" s="71" t="s">
        <v>42</v>
      </c>
      <c r="B64" s="90" t="s">
        <v>20</v>
      </c>
      <c r="C64" s="384">
        <v>3</v>
      </c>
      <c r="D64" s="384">
        <v>3</v>
      </c>
      <c r="E64" s="384">
        <f>D64</f>
        <v>3</v>
      </c>
      <c r="F64" s="384">
        <f t="shared" si="20"/>
        <v>3</v>
      </c>
      <c r="G64" s="384">
        <f t="shared" si="20"/>
        <v>3</v>
      </c>
      <c r="H64" s="384">
        <f t="shared" si="20"/>
        <v>3</v>
      </c>
      <c r="I64" s="384">
        <f t="shared" si="20"/>
        <v>3</v>
      </c>
      <c r="J64" s="228"/>
      <c r="K64" s="228"/>
      <c r="L64" s="228"/>
      <c r="M64" s="228"/>
      <c r="N64" s="228"/>
      <c r="O64" s="228"/>
      <c r="P64" s="228"/>
      <c r="Q64" s="228"/>
      <c r="R64" s="228"/>
      <c r="S64" s="228"/>
      <c r="T64" s="228"/>
    </row>
    <row r="65" spans="1:20" s="79" customFormat="1" x14ac:dyDescent="0.2">
      <c r="A65" s="71" t="s">
        <v>43</v>
      </c>
      <c r="B65" s="90" t="s">
        <v>20</v>
      </c>
      <c r="C65" s="384">
        <v>22</v>
      </c>
      <c r="D65" s="384">
        <v>20</v>
      </c>
      <c r="E65" s="384">
        <f>D65</f>
        <v>20</v>
      </c>
      <c r="F65" s="384">
        <f t="shared" si="20"/>
        <v>20</v>
      </c>
      <c r="G65" s="384">
        <v>21</v>
      </c>
      <c r="H65" s="384">
        <f t="shared" si="20"/>
        <v>21</v>
      </c>
      <c r="I65" s="384">
        <f t="shared" si="20"/>
        <v>21</v>
      </c>
      <c r="J65" s="228"/>
      <c r="K65" s="228"/>
      <c r="L65" s="228"/>
      <c r="M65" s="228"/>
      <c r="N65" s="228"/>
      <c r="O65" s="228"/>
      <c r="P65" s="228"/>
      <c r="Q65" s="228"/>
      <c r="R65" s="228"/>
      <c r="S65" s="228"/>
      <c r="T65" s="228"/>
    </row>
    <row r="66" spans="1:20" s="79" customFormat="1" ht="37.5" x14ac:dyDescent="0.2">
      <c r="A66" s="71" t="s">
        <v>139</v>
      </c>
      <c r="B66" s="90" t="s">
        <v>20</v>
      </c>
      <c r="C66" s="384">
        <v>8</v>
      </c>
      <c r="D66" s="384">
        <v>9</v>
      </c>
      <c r="E66" s="384">
        <f t="shared" si="20"/>
        <v>9</v>
      </c>
      <c r="F66" s="384">
        <f t="shared" si="20"/>
        <v>9</v>
      </c>
      <c r="G66" s="384">
        <f t="shared" si="20"/>
        <v>9</v>
      </c>
      <c r="H66" s="384">
        <f t="shared" si="20"/>
        <v>9</v>
      </c>
      <c r="I66" s="384">
        <f t="shared" si="20"/>
        <v>9</v>
      </c>
      <c r="J66" s="228"/>
      <c r="K66" s="228"/>
      <c r="L66" s="228"/>
      <c r="M66" s="228"/>
      <c r="N66" s="228"/>
      <c r="O66" s="228"/>
      <c r="P66" s="228"/>
      <c r="Q66" s="228"/>
      <c r="R66" s="228"/>
      <c r="S66" s="228"/>
      <c r="T66" s="228"/>
    </row>
    <row r="67" spans="1:20" s="79" customFormat="1" ht="56.25" x14ac:dyDescent="0.2">
      <c r="A67" s="71" t="s">
        <v>140</v>
      </c>
      <c r="B67" s="90" t="s">
        <v>20</v>
      </c>
      <c r="C67" s="384">
        <v>5</v>
      </c>
      <c r="D67" s="384">
        <v>4</v>
      </c>
      <c r="E67" s="384">
        <f t="shared" si="20"/>
        <v>4</v>
      </c>
      <c r="F67" s="384">
        <f t="shared" si="20"/>
        <v>4</v>
      </c>
      <c r="G67" s="384">
        <f t="shared" si="20"/>
        <v>4</v>
      </c>
      <c r="H67" s="384">
        <f t="shared" si="20"/>
        <v>4</v>
      </c>
      <c r="I67" s="384">
        <f t="shared" si="20"/>
        <v>4</v>
      </c>
      <c r="J67" s="228"/>
      <c r="K67" s="228"/>
      <c r="L67" s="228"/>
      <c r="M67" s="228"/>
      <c r="N67" s="228"/>
      <c r="O67" s="228"/>
      <c r="P67" s="228"/>
      <c r="Q67" s="228"/>
      <c r="R67" s="228"/>
      <c r="S67" s="228"/>
      <c r="T67" s="228"/>
    </row>
    <row r="68" spans="1:20" s="79" customFormat="1" x14ac:dyDescent="0.2">
      <c r="A68" s="71" t="s">
        <v>12</v>
      </c>
      <c r="B68" s="90" t="s">
        <v>20</v>
      </c>
      <c r="C68" s="384">
        <v>26</v>
      </c>
      <c r="D68" s="384">
        <v>22</v>
      </c>
      <c r="E68" s="384">
        <f t="shared" si="20"/>
        <v>22</v>
      </c>
      <c r="F68" s="384">
        <f t="shared" si="20"/>
        <v>22</v>
      </c>
      <c r="G68" s="384">
        <f t="shared" si="20"/>
        <v>22</v>
      </c>
      <c r="H68" s="384">
        <f t="shared" si="20"/>
        <v>22</v>
      </c>
      <c r="I68" s="384">
        <f t="shared" si="20"/>
        <v>22</v>
      </c>
      <c r="J68" s="228"/>
      <c r="K68" s="228"/>
      <c r="L68" s="228"/>
      <c r="M68" s="228"/>
      <c r="N68" s="228"/>
      <c r="O68" s="228"/>
      <c r="P68" s="228"/>
      <c r="Q68" s="228"/>
      <c r="R68" s="228"/>
      <c r="S68" s="228"/>
      <c r="T68" s="228"/>
    </row>
    <row r="69" spans="1:20" s="79" customFormat="1" ht="37.5" x14ac:dyDescent="0.2">
      <c r="A69" s="71" t="s">
        <v>141</v>
      </c>
      <c r="B69" s="90" t="s">
        <v>20</v>
      </c>
      <c r="C69" s="384">
        <v>54</v>
      </c>
      <c r="D69" s="384">
        <v>50</v>
      </c>
      <c r="E69" s="384">
        <f t="shared" si="20"/>
        <v>50</v>
      </c>
      <c r="F69" s="384">
        <f t="shared" si="20"/>
        <v>50</v>
      </c>
      <c r="G69" s="384">
        <f t="shared" si="20"/>
        <v>50</v>
      </c>
      <c r="H69" s="384">
        <f t="shared" si="20"/>
        <v>50</v>
      </c>
      <c r="I69" s="384">
        <f t="shared" si="20"/>
        <v>50</v>
      </c>
      <c r="J69" s="228"/>
      <c r="K69" s="228"/>
      <c r="L69" s="228"/>
      <c r="M69" s="228"/>
      <c r="N69" s="228"/>
      <c r="O69" s="228"/>
      <c r="P69" s="228"/>
      <c r="Q69" s="228"/>
      <c r="R69" s="228"/>
      <c r="S69" s="228"/>
      <c r="T69" s="228"/>
    </row>
    <row r="70" spans="1:20" s="79" customFormat="1" x14ac:dyDescent="0.2">
      <c r="A70" s="368" t="s">
        <v>170</v>
      </c>
      <c r="B70" s="90" t="s">
        <v>20</v>
      </c>
      <c r="C70" s="384">
        <v>39</v>
      </c>
      <c r="D70" s="384">
        <v>38</v>
      </c>
      <c r="E70" s="384">
        <f t="shared" si="20"/>
        <v>38</v>
      </c>
      <c r="F70" s="384">
        <f t="shared" si="20"/>
        <v>38</v>
      </c>
      <c r="G70" s="384">
        <f t="shared" si="20"/>
        <v>38</v>
      </c>
      <c r="H70" s="384">
        <f t="shared" si="20"/>
        <v>38</v>
      </c>
      <c r="I70" s="384">
        <f t="shared" si="20"/>
        <v>38</v>
      </c>
      <c r="J70" s="228"/>
      <c r="K70" s="228"/>
      <c r="L70" s="228"/>
      <c r="M70" s="228"/>
      <c r="N70" s="228"/>
      <c r="O70" s="228"/>
      <c r="P70" s="228"/>
      <c r="Q70" s="228"/>
      <c r="R70" s="228"/>
      <c r="S70" s="228"/>
      <c r="T70" s="228"/>
    </row>
    <row r="71" spans="1:20" s="79" customFormat="1" x14ac:dyDescent="0.2">
      <c r="A71" s="368" t="s">
        <v>171</v>
      </c>
      <c r="B71" s="90" t="s">
        <v>20</v>
      </c>
      <c r="C71" s="384">
        <v>6</v>
      </c>
      <c r="D71" s="384">
        <v>6</v>
      </c>
      <c r="E71" s="384">
        <f t="shared" si="20"/>
        <v>6</v>
      </c>
      <c r="F71" s="384">
        <f t="shared" si="20"/>
        <v>6</v>
      </c>
      <c r="G71" s="384">
        <f t="shared" si="20"/>
        <v>6</v>
      </c>
      <c r="H71" s="384">
        <f t="shared" si="20"/>
        <v>6</v>
      </c>
      <c r="I71" s="384">
        <f t="shared" si="20"/>
        <v>6</v>
      </c>
      <c r="J71" s="228"/>
      <c r="K71" s="228"/>
      <c r="L71" s="228"/>
      <c r="M71" s="228"/>
      <c r="N71" s="228"/>
      <c r="O71" s="228"/>
      <c r="P71" s="228"/>
      <c r="Q71" s="228"/>
      <c r="R71" s="228"/>
      <c r="S71" s="228"/>
      <c r="T71" s="228"/>
    </row>
    <row r="72" spans="1:20" s="79" customFormat="1" x14ac:dyDescent="0.2">
      <c r="A72" s="71" t="s">
        <v>47</v>
      </c>
      <c r="B72" s="90" t="s">
        <v>20</v>
      </c>
      <c r="C72" s="384">
        <v>102</v>
      </c>
      <c r="D72" s="384">
        <f>D58-D60-D64-D65-D66-D67-D68-D69-D70-D71</f>
        <v>103</v>
      </c>
      <c r="E72" s="384">
        <f>E58-E60-E64-E65-E66-E67-E68-E69-E70-E71</f>
        <v>87.039999999999992</v>
      </c>
      <c r="F72" s="384">
        <f>F58-F60-F64-F65-F66-F67-F68-F69-F70-F71</f>
        <v>87.039999999999992</v>
      </c>
      <c r="G72" s="384">
        <f>G58-G60-G64-G65-G66-G67-G68-G69-G70-G71</f>
        <v>86</v>
      </c>
      <c r="H72" s="384">
        <f t="shared" ref="H72:I72" si="21">H58-H60-H64-H65-H66-H67-H68-H69-H70-H71</f>
        <v>86.039999999999992</v>
      </c>
      <c r="I72" s="384">
        <f t="shared" si="21"/>
        <v>86.039999999999992</v>
      </c>
      <c r="J72" s="228"/>
      <c r="K72" s="228"/>
      <c r="L72" s="228"/>
      <c r="M72" s="228"/>
      <c r="N72" s="228"/>
      <c r="O72" s="228"/>
      <c r="P72" s="228"/>
      <c r="Q72" s="228"/>
      <c r="R72" s="228"/>
      <c r="S72" s="228"/>
      <c r="T72" s="228"/>
    </row>
    <row r="73" spans="1:20" s="79" customFormat="1" ht="37.5" x14ac:dyDescent="0.2">
      <c r="A73" s="71" t="s">
        <v>68</v>
      </c>
      <c r="B73" s="90" t="s">
        <v>8</v>
      </c>
      <c r="C73" s="385">
        <v>15.342367054247189</v>
      </c>
      <c r="D73" s="385">
        <f t="shared" ref="D73:I73" si="22">D23/D8*100</f>
        <v>17.277406985486024</v>
      </c>
      <c r="E73" s="385">
        <f t="shared" si="22"/>
        <v>17.742851385304554</v>
      </c>
      <c r="F73" s="385">
        <f t="shared" si="22"/>
        <v>17.742851385304551</v>
      </c>
      <c r="G73" s="385">
        <f t="shared" si="22"/>
        <v>17.354142375453005</v>
      </c>
      <c r="H73" s="385">
        <f t="shared" si="22"/>
        <v>17.043977956885065</v>
      </c>
      <c r="I73" s="385">
        <f t="shared" si="22"/>
        <v>16.777163513850429</v>
      </c>
      <c r="J73" s="228"/>
      <c r="K73" s="228"/>
      <c r="L73" s="228"/>
      <c r="M73" s="228"/>
      <c r="N73" s="228"/>
      <c r="O73" s="228"/>
      <c r="P73" s="228"/>
      <c r="Q73" s="228"/>
      <c r="R73" s="228"/>
      <c r="S73" s="228"/>
      <c r="T73" s="228"/>
    </row>
    <row r="74" spans="1:20" s="79" customFormat="1" ht="19.5" x14ac:dyDescent="0.2">
      <c r="A74" s="395" t="s">
        <v>67</v>
      </c>
      <c r="B74" s="90" t="s">
        <v>20</v>
      </c>
      <c r="C74" s="370">
        <v>266</v>
      </c>
      <c r="D74" s="370">
        <v>252</v>
      </c>
      <c r="E74" s="394">
        <f>D74*94%</f>
        <v>236.88</v>
      </c>
      <c r="F74" s="394">
        <f t="shared" si="20"/>
        <v>236.88</v>
      </c>
      <c r="G74" s="394">
        <f t="shared" si="20"/>
        <v>236.88</v>
      </c>
      <c r="H74" s="394">
        <f t="shared" si="20"/>
        <v>236.88</v>
      </c>
      <c r="I74" s="394">
        <f t="shared" si="20"/>
        <v>236.88</v>
      </c>
      <c r="J74" s="228"/>
      <c r="K74" s="228"/>
      <c r="L74" s="228"/>
      <c r="M74" s="228"/>
      <c r="N74" s="228"/>
      <c r="O74" s="228"/>
      <c r="P74" s="228"/>
      <c r="Q74" s="228"/>
      <c r="R74" s="228"/>
      <c r="S74" s="228"/>
      <c r="T74" s="228"/>
    </row>
    <row r="75" spans="1:20" s="79" customFormat="1" ht="37.5" x14ac:dyDescent="0.2">
      <c r="A75" s="71" t="s">
        <v>74</v>
      </c>
      <c r="B75" s="90"/>
      <c r="C75" s="209"/>
      <c r="D75" s="209"/>
      <c r="E75" s="384"/>
      <c r="F75" s="209"/>
      <c r="G75" s="209"/>
      <c r="H75" s="209"/>
      <c r="I75" s="209"/>
      <c r="J75" s="228"/>
      <c r="K75" s="228"/>
      <c r="L75" s="228"/>
      <c r="M75" s="228"/>
      <c r="N75" s="228"/>
      <c r="O75" s="228"/>
      <c r="P75" s="228"/>
      <c r="Q75" s="228"/>
      <c r="R75" s="228"/>
      <c r="S75" s="228"/>
      <c r="T75" s="228"/>
    </row>
    <row r="76" spans="1:20" s="79" customFormat="1" x14ac:dyDescent="0.2">
      <c r="A76" s="71" t="s">
        <v>60</v>
      </c>
      <c r="B76" s="90" t="s">
        <v>20</v>
      </c>
      <c r="C76" s="384">
        <v>744</v>
      </c>
      <c r="D76" s="384">
        <v>695</v>
      </c>
      <c r="E76" s="396">
        <f>D76*93%</f>
        <v>646.35</v>
      </c>
      <c r="F76" s="384">
        <v>646</v>
      </c>
      <c r="G76" s="384">
        <v>646</v>
      </c>
      <c r="H76" s="384">
        <v>646</v>
      </c>
      <c r="I76" s="384">
        <v>646</v>
      </c>
      <c r="J76" s="228"/>
      <c r="K76" s="228"/>
      <c r="L76" s="228"/>
      <c r="M76" s="228"/>
      <c r="N76" s="228"/>
      <c r="O76" s="228"/>
      <c r="P76" s="228"/>
      <c r="Q76" s="228"/>
      <c r="R76" s="228"/>
      <c r="S76" s="228"/>
      <c r="T76" s="228"/>
    </row>
    <row r="77" spans="1:20" s="79" customFormat="1" ht="39" x14ac:dyDescent="0.2">
      <c r="A77" s="374" t="s">
        <v>1</v>
      </c>
      <c r="B77" s="78" t="s">
        <v>6</v>
      </c>
      <c r="C77" s="397">
        <v>1360.2260000000001</v>
      </c>
      <c r="D77" s="398">
        <v>1274.069</v>
      </c>
      <c r="E77" s="375">
        <f>479.789*4</f>
        <v>1919.1559999999999</v>
      </c>
      <c r="F77" s="398">
        <f>G77</f>
        <v>1980.568992</v>
      </c>
      <c r="G77" s="398">
        <f>E77*103.2%</f>
        <v>1980.568992</v>
      </c>
      <c r="H77" s="375">
        <f>G77*103.7%</f>
        <v>2053.8500447039996</v>
      </c>
      <c r="I77" s="399">
        <f>H77*104.5%</f>
        <v>2146.2732967156794</v>
      </c>
      <c r="J77" s="228" t="s">
        <v>520</v>
      </c>
      <c r="K77" s="228"/>
      <c r="L77" s="228"/>
      <c r="M77" s="228"/>
      <c r="N77" s="228"/>
      <c r="O77" s="228"/>
      <c r="P77" s="228"/>
      <c r="Q77" s="228"/>
      <c r="R77" s="228"/>
      <c r="S77" s="228"/>
      <c r="T77" s="228"/>
    </row>
    <row r="78" spans="1:20" ht="18.75" customHeight="1" x14ac:dyDescent="0.2">
      <c r="A78" s="443" t="s">
        <v>89</v>
      </c>
      <c r="B78" s="444"/>
      <c r="C78" s="444"/>
      <c r="D78" s="444"/>
      <c r="E78" s="444"/>
      <c r="F78" s="444"/>
      <c r="G78" s="444"/>
      <c r="H78" s="444"/>
      <c r="I78" s="445"/>
    </row>
    <row r="79" spans="1:20" s="79" customFormat="1" ht="19.5" x14ac:dyDescent="0.2">
      <c r="A79" s="400" t="s">
        <v>90</v>
      </c>
      <c r="B79" s="363" t="s">
        <v>22</v>
      </c>
      <c r="C79" s="378">
        <v>38.994999999999997</v>
      </c>
      <c r="D79" s="378">
        <v>38.700000000000003</v>
      </c>
      <c r="E79" s="378">
        <v>38.700000000000003</v>
      </c>
      <c r="F79" s="401">
        <f>E79*99.8%</f>
        <v>38.622600000000006</v>
      </c>
      <c r="G79" s="378">
        <v>38.700000000000003</v>
      </c>
      <c r="H79" s="402">
        <f>G79</f>
        <v>38.700000000000003</v>
      </c>
      <c r="I79" s="378">
        <f>H79</f>
        <v>38.700000000000003</v>
      </c>
      <c r="J79" s="255"/>
      <c r="K79" s="255"/>
      <c r="L79" s="255"/>
      <c r="M79" s="255"/>
      <c r="N79" s="255"/>
      <c r="O79" s="255"/>
      <c r="P79" s="228"/>
      <c r="Q79" s="228"/>
      <c r="R79" s="228"/>
      <c r="S79" s="228"/>
      <c r="T79" s="228"/>
    </row>
    <row r="80" spans="1:20" s="79" customFormat="1" ht="39" x14ac:dyDescent="0.25">
      <c r="A80" s="400" t="s">
        <v>506</v>
      </c>
      <c r="B80" s="363" t="s">
        <v>22</v>
      </c>
      <c r="C80" s="378">
        <v>13.241</v>
      </c>
      <c r="D80" s="378">
        <v>13.343999999999999</v>
      </c>
      <c r="E80" s="378">
        <f>D80+0.003</f>
        <v>13.347</v>
      </c>
      <c r="F80" s="378">
        <v>13.347</v>
      </c>
      <c r="G80" s="378">
        <v>13.347</v>
      </c>
      <c r="H80" s="378">
        <f>E80</f>
        <v>13.347</v>
      </c>
      <c r="I80" s="378">
        <f>H80</f>
        <v>13.347</v>
      </c>
      <c r="J80" s="263"/>
      <c r="K80" s="263"/>
      <c r="L80" s="255"/>
      <c r="M80" s="263"/>
      <c r="N80" s="570"/>
      <c r="O80" s="255"/>
      <c r="P80" s="228"/>
      <c r="Q80" s="228"/>
      <c r="R80" s="228"/>
      <c r="S80" s="228"/>
      <c r="T80" s="228"/>
    </row>
    <row r="81" spans="1:20" s="79" customFormat="1" ht="19.5" x14ac:dyDescent="0.2">
      <c r="A81" s="403" t="s">
        <v>23</v>
      </c>
      <c r="B81" s="90"/>
      <c r="C81" s="384"/>
      <c r="D81" s="384"/>
      <c r="E81" s="387"/>
      <c r="F81" s="387"/>
      <c r="G81" s="404"/>
      <c r="H81" s="387"/>
      <c r="I81" s="404"/>
      <c r="J81" s="571"/>
      <c r="K81" s="571"/>
      <c r="L81" s="255"/>
      <c r="M81" s="255"/>
      <c r="N81" s="255"/>
      <c r="O81" s="255"/>
      <c r="P81" s="228"/>
      <c r="Q81" s="228"/>
      <c r="R81" s="228"/>
      <c r="S81" s="228"/>
      <c r="T81" s="228"/>
    </row>
    <row r="82" spans="1:20" s="79" customFormat="1" ht="37.5" x14ac:dyDescent="0.3">
      <c r="A82" s="405" t="s">
        <v>269</v>
      </c>
      <c r="B82" s="90" t="s">
        <v>22</v>
      </c>
      <c r="C82" s="384">
        <v>1.7999999999999999E-2</v>
      </c>
      <c r="D82" s="406">
        <v>2.1000000000000001E-2</v>
      </c>
      <c r="E82" s="407">
        <f>F82</f>
        <v>2.1000000000000001E-2</v>
      </c>
      <c r="F82" s="406">
        <f>G82</f>
        <v>2.1000000000000001E-2</v>
      </c>
      <c r="G82" s="406">
        <f>D82</f>
        <v>2.1000000000000001E-2</v>
      </c>
      <c r="H82" s="406">
        <f t="shared" ref="H82:I82" si="23">E82</f>
        <v>2.1000000000000001E-2</v>
      </c>
      <c r="I82" s="406">
        <f t="shared" si="23"/>
        <v>2.1000000000000001E-2</v>
      </c>
      <c r="J82" s="571"/>
      <c r="K82" s="571"/>
      <c r="L82" s="255"/>
      <c r="M82" s="255"/>
      <c r="N82" s="255"/>
      <c r="O82" s="255"/>
      <c r="P82" s="228"/>
      <c r="Q82" s="228"/>
      <c r="R82" s="228"/>
      <c r="S82" s="228"/>
      <c r="T82" s="228"/>
    </row>
    <row r="83" spans="1:20" s="79" customFormat="1" ht="37.5" x14ac:dyDescent="0.2">
      <c r="A83" s="366" t="s">
        <v>136</v>
      </c>
      <c r="B83" s="90" t="s">
        <v>22</v>
      </c>
      <c r="C83" s="384"/>
      <c r="D83" s="406"/>
      <c r="E83" s="407"/>
      <c r="F83" s="406"/>
      <c r="G83" s="406"/>
      <c r="H83" s="406"/>
      <c r="I83" s="406"/>
      <c r="J83" s="571"/>
      <c r="K83" s="571"/>
      <c r="L83" s="255"/>
      <c r="M83" s="255"/>
      <c r="N83" s="255"/>
      <c r="O83" s="255"/>
      <c r="P83" s="228"/>
      <c r="Q83" s="228"/>
      <c r="R83" s="228"/>
      <c r="S83" s="228"/>
      <c r="T83" s="228"/>
    </row>
    <row r="84" spans="1:20" s="79" customFormat="1" x14ac:dyDescent="0.3">
      <c r="A84" s="408" t="s">
        <v>137</v>
      </c>
      <c r="B84" s="90" t="s">
        <v>22</v>
      </c>
      <c r="C84" s="384"/>
      <c r="D84" s="406"/>
      <c r="E84" s="407"/>
      <c r="F84" s="406"/>
      <c r="G84" s="406"/>
      <c r="H84" s="406"/>
      <c r="I84" s="406"/>
      <c r="J84" s="571"/>
      <c r="K84" s="571"/>
      <c r="L84" s="255"/>
      <c r="M84" s="255"/>
      <c r="N84" s="255"/>
      <c r="O84" s="255"/>
      <c r="P84" s="228"/>
      <c r="Q84" s="228"/>
      <c r="R84" s="228"/>
      <c r="S84" s="228"/>
      <c r="T84" s="228"/>
    </row>
    <row r="85" spans="1:20" s="79" customFormat="1" x14ac:dyDescent="0.3">
      <c r="A85" s="408" t="s">
        <v>138</v>
      </c>
      <c r="B85" s="90" t="s">
        <v>22</v>
      </c>
      <c r="C85" s="384"/>
      <c r="D85" s="406"/>
      <c r="E85" s="407"/>
      <c r="F85" s="406"/>
      <c r="G85" s="406"/>
      <c r="H85" s="406"/>
      <c r="I85" s="406"/>
      <c r="J85" s="571"/>
      <c r="K85" s="571"/>
      <c r="L85" s="255"/>
      <c r="M85" s="255"/>
      <c r="N85" s="255"/>
      <c r="O85" s="255"/>
      <c r="P85" s="228"/>
      <c r="Q85" s="228"/>
      <c r="R85" s="228"/>
      <c r="S85" s="228"/>
      <c r="T85" s="228"/>
    </row>
    <row r="86" spans="1:20" s="79" customFormat="1" x14ac:dyDescent="0.3">
      <c r="A86" s="408" t="s">
        <v>42</v>
      </c>
      <c r="B86" s="90" t="s">
        <v>22</v>
      </c>
      <c r="C86" s="384">
        <v>0.34799999999999998</v>
      </c>
      <c r="D86" s="406">
        <v>0.34</v>
      </c>
      <c r="E86" s="407">
        <f>F86</f>
        <v>0.34</v>
      </c>
      <c r="F86" s="407">
        <f>G86</f>
        <v>0.34</v>
      </c>
      <c r="G86" s="407">
        <f>D86</f>
        <v>0.34</v>
      </c>
      <c r="H86" s="407">
        <f>F86</f>
        <v>0.34</v>
      </c>
      <c r="I86" s="407">
        <f>H86</f>
        <v>0.34</v>
      </c>
      <c r="J86" s="571"/>
      <c r="K86" s="571"/>
      <c r="L86" s="255"/>
      <c r="M86" s="255"/>
      <c r="N86" s="255"/>
      <c r="O86" s="255"/>
      <c r="P86" s="228"/>
      <c r="Q86" s="228"/>
      <c r="R86" s="228"/>
      <c r="S86" s="228"/>
      <c r="T86" s="228"/>
    </row>
    <row r="87" spans="1:20" s="79" customFormat="1" x14ac:dyDescent="0.3">
      <c r="A87" s="408" t="s">
        <v>43</v>
      </c>
      <c r="B87" s="90" t="s">
        <v>22</v>
      </c>
      <c r="C87" s="384">
        <v>0.71299999999999997</v>
      </c>
      <c r="D87" s="406">
        <v>0.63900000000000001</v>
      </c>
      <c r="E87" s="407">
        <f t="shared" ref="E87:E96" si="24">F87</f>
        <v>0.71</v>
      </c>
      <c r="F87" s="407">
        <f t="shared" ref="F87:F96" si="25">G87</f>
        <v>0.71</v>
      </c>
      <c r="G87" s="407">
        <v>0.71</v>
      </c>
      <c r="H87" s="407">
        <f t="shared" ref="H87:H96" si="26">F87</f>
        <v>0.71</v>
      </c>
      <c r="I87" s="407">
        <f t="shared" ref="I87:I96" si="27">H87</f>
        <v>0.71</v>
      </c>
      <c r="J87" s="571"/>
      <c r="K87" s="571"/>
      <c r="L87" s="255"/>
      <c r="M87" s="255"/>
      <c r="N87" s="255"/>
      <c r="O87" s="255"/>
      <c r="P87" s="228"/>
      <c r="Q87" s="228"/>
      <c r="R87" s="228"/>
      <c r="S87" s="228"/>
      <c r="T87" s="228"/>
    </row>
    <row r="88" spans="1:20" s="79" customFormat="1" ht="37.5" x14ac:dyDescent="0.2">
      <c r="A88" s="366" t="s">
        <v>139</v>
      </c>
      <c r="B88" s="90" t="s">
        <v>22</v>
      </c>
      <c r="C88" s="384">
        <v>0.59799999999999998</v>
      </c>
      <c r="D88" s="406">
        <v>0.58499999999999996</v>
      </c>
      <c r="E88" s="407">
        <f t="shared" si="24"/>
        <v>0.58499999999999996</v>
      </c>
      <c r="F88" s="407">
        <f t="shared" si="25"/>
        <v>0.58499999999999996</v>
      </c>
      <c r="G88" s="407">
        <f>D88</f>
        <v>0.58499999999999996</v>
      </c>
      <c r="H88" s="407">
        <f t="shared" si="26"/>
        <v>0.58499999999999996</v>
      </c>
      <c r="I88" s="407">
        <f t="shared" si="27"/>
        <v>0.58499999999999996</v>
      </c>
      <c r="J88" s="571"/>
      <c r="K88" s="571"/>
      <c r="L88" s="255"/>
      <c r="M88" s="255"/>
      <c r="N88" s="255"/>
      <c r="O88" s="255"/>
      <c r="P88" s="228"/>
      <c r="Q88" s="228"/>
      <c r="R88" s="228"/>
      <c r="S88" s="228"/>
      <c r="T88" s="228"/>
    </row>
    <row r="89" spans="1:20" s="79" customFormat="1" x14ac:dyDescent="0.3">
      <c r="A89" s="408" t="s">
        <v>140</v>
      </c>
      <c r="B89" s="90" t="s">
        <v>22</v>
      </c>
      <c r="C89" s="384">
        <v>9.6000000000000002E-2</v>
      </c>
      <c r="D89" s="406">
        <v>0.107</v>
      </c>
      <c r="E89" s="407">
        <f t="shared" si="24"/>
        <v>0.107</v>
      </c>
      <c r="F89" s="407">
        <f t="shared" si="25"/>
        <v>0.107</v>
      </c>
      <c r="G89" s="407">
        <f>D89</f>
        <v>0.107</v>
      </c>
      <c r="H89" s="407">
        <f t="shared" si="26"/>
        <v>0.107</v>
      </c>
      <c r="I89" s="407">
        <f t="shared" si="27"/>
        <v>0.107</v>
      </c>
      <c r="J89" s="571"/>
      <c r="K89" s="571"/>
      <c r="L89" s="255"/>
      <c r="M89" s="255"/>
      <c r="N89" s="255"/>
      <c r="O89" s="255"/>
      <c r="P89" s="228"/>
      <c r="Q89" s="228"/>
      <c r="R89" s="228"/>
      <c r="S89" s="228"/>
      <c r="T89" s="228"/>
    </row>
    <row r="90" spans="1:20" s="79" customFormat="1" x14ac:dyDescent="0.3">
      <c r="A90" s="408" t="s">
        <v>12</v>
      </c>
      <c r="B90" s="90" t="s">
        <v>22</v>
      </c>
      <c r="C90" s="384">
        <v>0.4</v>
      </c>
      <c r="D90" s="406">
        <v>0.46400000000000002</v>
      </c>
      <c r="E90" s="407">
        <f t="shared" si="24"/>
        <v>0.39500000000000002</v>
      </c>
      <c r="F90" s="407">
        <f t="shared" si="25"/>
        <v>0.39500000000000002</v>
      </c>
      <c r="G90" s="407">
        <v>0.39500000000000002</v>
      </c>
      <c r="H90" s="407">
        <f t="shared" si="26"/>
        <v>0.39500000000000002</v>
      </c>
      <c r="I90" s="407">
        <f t="shared" si="27"/>
        <v>0.39500000000000002</v>
      </c>
      <c r="J90" s="571"/>
      <c r="K90" s="571"/>
      <c r="L90" s="255"/>
      <c r="M90" s="255"/>
      <c r="N90" s="255"/>
      <c r="O90" s="255"/>
      <c r="P90" s="228"/>
      <c r="Q90" s="228"/>
      <c r="R90" s="228"/>
      <c r="S90" s="228"/>
      <c r="T90" s="228"/>
    </row>
    <row r="91" spans="1:20" s="79" customFormat="1" ht="37.5" x14ac:dyDescent="0.2">
      <c r="A91" s="366" t="s">
        <v>141</v>
      </c>
      <c r="B91" s="90" t="s">
        <v>22</v>
      </c>
      <c r="C91" s="384">
        <v>3.2879999999999998</v>
      </c>
      <c r="D91" s="406">
        <v>3.2879999999999998</v>
      </c>
      <c r="E91" s="407">
        <f t="shared" si="24"/>
        <v>3.2879999999999998</v>
      </c>
      <c r="F91" s="407">
        <f t="shared" si="25"/>
        <v>3.2879999999999998</v>
      </c>
      <c r="G91" s="407">
        <f>D91</f>
        <v>3.2879999999999998</v>
      </c>
      <c r="H91" s="407">
        <f t="shared" si="26"/>
        <v>3.2879999999999998</v>
      </c>
      <c r="I91" s="407">
        <f t="shared" si="27"/>
        <v>3.2879999999999998</v>
      </c>
      <c r="J91" s="571"/>
      <c r="K91" s="571"/>
      <c r="L91" s="255"/>
      <c r="M91" s="255"/>
      <c r="N91" s="572"/>
      <c r="O91" s="255"/>
      <c r="P91" s="228"/>
      <c r="Q91" s="228"/>
      <c r="R91" s="228"/>
      <c r="S91" s="228"/>
      <c r="T91" s="228"/>
    </row>
    <row r="92" spans="1:20" s="79" customFormat="1" x14ac:dyDescent="0.2">
      <c r="A92" s="368" t="s">
        <v>170</v>
      </c>
      <c r="B92" s="90" t="s">
        <v>22</v>
      </c>
      <c r="C92" s="384">
        <v>2.6680000000000001</v>
      </c>
      <c r="D92" s="406">
        <v>2.6749999999999998</v>
      </c>
      <c r="E92" s="407">
        <f t="shared" si="24"/>
        <v>2.6360000000000001</v>
      </c>
      <c r="F92" s="407">
        <f t="shared" si="25"/>
        <v>2.6360000000000001</v>
      </c>
      <c r="G92" s="407">
        <v>2.6360000000000001</v>
      </c>
      <c r="H92" s="407">
        <f t="shared" si="26"/>
        <v>2.6360000000000001</v>
      </c>
      <c r="I92" s="407">
        <f t="shared" si="27"/>
        <v>2.6360000000000001</v>
      </c>
      <c r="J92" s="571"/>
      <c r="K92" s="571"/>
      <c r="L92" s="255"/>
      <c r="M92" s="255"/>
      <c r="N92" s="572"/>
      <c r="O92" s="255"/>
      <c r="P92" s="228"/>
      <c r="Q92" s="228"/>
      <c r="R92" s="228"/>
      <c r="S92" s="228"/>
      <c r="T92" s="228"/>
    </row>
    <row r="93" spans="1:20" s="79" customFormat="1" x14ac:dyDescent="0.2">
      <c r="A93" s="368" t="s">
        <v>171</v>
      </c>
      <c r="B93" s="90" t="s">
        <v>22</v>
      </c>
      <c r="C93" s="384">
        <v>7.4999999999999997E-2</v>
      </c>
      <c r="D93" s="406">
        <v>6.3E-2</v>
      </c>
      <c r="E93" s="407">
        <f t="shared" si="24"/>
        <v>6.3E-2</v>
      </c>
      <c r="F93" s="407">
        <f t="shared" si="25"/>
        <v>6.3E-2</v>
      </c>
      <c r="G93" s="407">
        <f>D93</f>
        <v>6.3E-2</v>
      </c>
      <c r="H93" s="407">
        <f t="shared" si="26"/>
        <v>6.3E-2</v>
      </c>
      <c r="I93" s="407">
        <f t="shared" si="27"/>
        <v>6.3E-2</v>
      </c>
      <c r="J93" s="571"/>
      <c r="K93" s="571"/>
      <c r="L93" s="255"/>
      <c r="M93" s="255"/>
      <c r="N93" s="255"/>
      <c r="O93" s="255"/>
      <c r="P93" s="228"/>
      <c r="Q93" s="228"/>
      <c r="R93" s="228"/>
      <c r="S93" s="228"/>
      <c r="T93" s="228"/>
    </row>
    <row r="94" spans="1:20" s="79" customFormat="1" ht="37.5" x14ac:dyDescent="0.2">
      <c r="A94" s="366" t="s">
        <v>41</v>
      </c>
      <c r="B94" s="90" t="s">
        <v>22</v>
      </c>
      <c r="C94" s="384">
        <v>0.83199999999999996</v>
      </c>
      <c r="D94" s="406">
        <v>0.98899999999999999</v>
      </c>
      <c r="E94" s="407">
        <f t="shared" si="24"/>
        <v>0.98899999999999999</v>
      </c>
      <c r="F94" s="407">
        <f t="shared" si="25"/>
        <v>0.98899999999999999</v>
      </c>
      <c r="G94" s="407">
        <f>D94</f>
        <v>0.98899999999999999</v>
      </c>
      <c r="H94" s="407">
        <f t="shared" si="26"/>
        <v>0.98899999999999999</v>
      </c>
      <c r="I94" s="407">
        <f t="shared" si="27"/>
        <v>0.98899999999999999</v>
      </c>
      <c r="J94" s="571"/>
      <c r="K94" s="571"/>
      <c r="L94" s="255"/>
      <c r="M94" s="255"/>
      <c r="N94" s="255"/>
      <c r="O94" s="255"/>
      <c r="P94" s="228"/>
      <c r="Q94" s="228"/>
      <c r="R94" s="228"/>
      <c r="S94" s="228"/>
      <c r="T94" s="228"/>
    </row>
    <row r="95" spans="1:20" s="79" customFormat="1" x14ac:dyDescent="0.3">
      <c r="A95" s="408" t="s">
        <v>44</v>
      </c>
      <c r="B95" s="90" t="s">
        <v>22</v>
      </c>
      <c r="C95" s="384">
        <v>1.8660000000000001</v>
      </c>
      <c r="D95" s="406">
        <v>1.8420000000000001</v>
      </c>
      <c r="E95" s="407">
        <f t="shared" si="24"/>
        <v>1.8420000000000001</v>
      </c>
      <c r="F95" s="407">
        <f t="shared" si="25"/>
        <v>1.8420000000000001</v>
      </c>
      <c r="G95" s="407">
        <f>D95</f>
        <v>1.8420000000000001</v>
      </c>
      <c r="H95" s="407">
        <f t="shared" si="26"/>
        <v>1.8420000000000001</v>
      </c>
      <c r="I95" s="407">
        <f t="shared" si="27"/>
        <v>1.8420000000000001</v>
      </c>
      <c r="J95" s="571"/>
      <c r="K95" s="571"/>
      <c r="L95" s="255"/>
      <c r="M95" s="255"/>
      <c r="N95" s="255"/>
      <c r="O95" s="255"/>
      <c r="P95" s="228"/>
      <c r="Q95" s="228"/>
      <c r="R95" s="228"/>
      <c r="S95" s="228"/>
      <c r="T95" s="228"/>
    </row>
    <row r="96" spans="1:20" s="79" customFormat="1" x14ac:dyDescent="0.3">
      <c r="A96" s="408" t="s">
        <v>45</v>
      </c>
      <c r="B96" s="90" t="s">
        <v>22</v>
      </c>
      <c r="C96" s="384">
        <v>0.755</v>
      </c>
      <c r="D96" s="406">
        <v>0.754</v>
      </c>
      <c r="E96" s="407">
        <f t="shared" si="24"/>
        <v>0.754</v>
      </c>
      <c r="F96" s="407">
        <f t="shared" si="25"/>
        <v>0.754</v>
      </c>
      <c r="G96" s="407">
        <f>D96</f>
        <v>0.754</v>
      </c>
      <c r="H96" s="407">
        <f t="shared" si="26"/>
        <v>0.754</v>
      </c>
      <c r="I96" s="407">
        <f t="shared" si="27"/>
        <v>0.754</v>
      </c>
      <c r="J96" s="571"/>
      <c r="K96" s="571"/>
      <c r="L96" s="255"/>
      <c r="M96" s="255"/>
      <c r="N96" s="255"/>
      <c r="O96" s="255"/>
      <c r="P96" s="228"/>
      <c r="Q96" s="228"/>
      <c r="R96" s="228"/>
      <c r="S96" s="228"/>
      <c r="T96" s="228"/>
    </row>
    <row r="97" spans="1:20" s="79" customFormat="1" x14ac:dyDescent="0.3">
      <c r="A97" s="408" t="s">
        <v>47</v>
      </c>
      <c r="B97" s="90" t="s">
        <v>22</v>
      </c>
      <c r="C97" s="384">
        <v>1.5839999999999979</v>
      </c>
      <c r="D97" s="406">
        <f>D80-(D82+D86+D87+D88+D89+D90+D91+D92+D93+D94+D95+D96)</f>
        <v>1.5769999999999982</v>
      </c>
      <c r="E97" s="406">
        <f t="shared" ref="E97:I97" si="28">E80-(E82+E86+E87+E88+E89+E90+E91+E92+E93+E94+E95+E96)</f>
        <v>1.6169999999999973</v>
      </c>
      <c r="F97" s="406">
        <f t="shared" si="28"/>
        <v>1.6169999999999973</v>
      </c>
      <c r="G97" s="406">
        <f t="shared" si="28"/>
        <v>1.6169999999999973</v>
      </c>
      <c r="H97" s="406">
        <f t="shared" si="28"/>
        <v>1.6169999999999973</v>
      </c>
      <c r="I97" s="406">
        <f t="shared" si="28"/>
        <v>1.6169999999999973</v>
      </c>
      <c r="J97" s="571"/>
      <c r="K97" s="571"/>
      <c r="L97" s="255"/>
      <c r="M97" s="255"/>
      <c r="N97" s="255"/>
      <c r="O97" s="255"/>
      <c r="P97" s="228"/>
      <c r="Q97" s="228"/>
      <c r="R97" s="228"/>
      <c r="S97" s="228"/>
      <c r="T97" s="228"/>
    </row>
    <row r="98" spans="1:20" s="79" customFormat="1" ht="54.75" customHeight="1" x14ac:dyDescent="0.3">
      <c r="A98" s="409" t="s">
        <v>504</v>
      </c>
      <c r="B98" s="90" t="s">
        <v>22</v>
      </c>
      <c r="C98" s="410">
        <v>2.1030000000000002</v>
      </c>
      <c r="D98" s="410">
        <v>2.0649999999999999</v>
      </c>
      <c r="E98" s="411">
        <v>2.1150000000000002</v>
      </c>
      <c r="F98" s="410">
        <v>2.1150000000000002</v>
      </c>
      <c r="G98" s="410">
        <v>2.117</v>
      </c>
      <c r="H98" s="410">
        <v>2.117</v>
      </c>
      <c r="I98" s="410">
        <v>2.117</v>
      </c>
      <c r="J98" s="228"/>
      <c r="K98" s="228"/>
      <c r="L98" s="228"/>
      <c r="M98" s="228"/>
      <c r="N98" s="228"/>
      <c r="O98" s="228"/>
      <c r="P98" s="228"/>
      <c r="Q98" s="228"/>
      <c r="R98" s="228"/>
      <c r="S98" s="228"/>
      <c r="T98" s="228"/>
    </row>
    <row r="99" spans="1:20" s="79" customFormat="1" x14ac:dyDescent="0.3">
      <c r="A99" s="412" t="s">
        <v>46</v>
      </c>
      <c r="B99" s="90"/>
      <c r="C99" s="384"/>
      <c r="D99" s="384"/>
      <c r="E99" s="407"/>
      <c r="F99" s="384"/>
      <c r="G99" s="404"/>
      <c r="H99" s="384"/>
      <c r="I99" s="404"/>
      <c r="J99" s="228"/>
      <c r="K99" s="228"/>
      <c r="L99" s="228"/>
      <c r="M99" s="228"/>
      <c r="N99" s="228"/>
      <c r="O99" s="228"/>
      <c r="P99" s="228"/>
      <c r="Q99" s="228"/>
      <c r="R99" s="228"/>
      <c r="S99" s="228"/>
      <c r="T99" s="228"/>
    </row>
    <row r="100" spans="1:20" s="79" customFormat="1" ht="37.5" x14ac:dyDescent="0.2">
      <c r="A100" s="92" t="s">
        <v>266</v>
      </c>
      <c r="B100" s="90" t="s">
        <v>22</v>
      </c>
      <c r="C100" s="214">
        <v>0.17199999999999999</v>
      </c>
      <c r="D100" s="214">
        <v>0.17399999999999999</v>
      </c>
      <c r="E100" s="407">
        <v>0.17799999999999999</v>
      </c>
      <c r="F100" s="407">
        <v>0.17799999999999999</v>
      </c>
      <c r="G100" s="407">
        <v>0.17799999999999999</v>
      </c>
      <c r="H100" s="407">
        <v>0.17799999999999999</v>
      </c>
      <c r="I100" s="407">
        <v>0.17799999999999999</v>
      </c>
      <c r="J100" s="228"/>
      <c r="K100" s="228"/>
      <c r="L100" s="228"/>
      <c r="M100" s="228"/>
      <c r="N100" s="228"/>
      <c r="O100" s="228"/>
      <c r="P100" s="228"/>
      <c r="Q100" s="228"/>
      <c r="R100" s="228"/>
      <c r="S100" s="228"/>
      <c r="T100" s="228"/>
    </row>
    <row r="101" spans="1:20" s="79" customFormat="1" x14ac:dyDescent="0.3">
      <c r="A101" s="93" t="s">
        <v>172</v>
      </c>
      <c r="B101" s="90" t="s">
        <v>22</v>
      </c>
      <c r="C101" s="384"/>
      <c r="D101" s="384"/>
      <c r="E101" s="407"/>
      <c r="F101" s="384"/>
      <c r="G101" s="404"/>
      <c r="H101" s="384"/>
      <c r="I101" s="413"/>
      <c r="J101" s="228"/>
      <c r="K101" s="228"/>
      <c r="L101" s="228"/>
      <c r="M101" s="228"/>
      <c r="N101" s="228"/>
      <c r="O101" s="228"/>
      <c r="P101" s="228"/>
      <c r="Q101" s="228"/>
      <c r="R101" s="228"/>
      <c r="S101" s="228"/>
      <c r="T101" s="228"/>
    </row>
    <row r="102" spans="1:20" s="79" customFormat="1" x14ac:dyDescent="0.3">
      <c r="A102" s="93" t="s">
        <v>41</v>
      </c>
      <c r="B102" s="90" t="s">
        <v>21</v>
      </c>
      <c r="C102" s="214">
        <v>0.27200000000000002</v>
      </c>
      <c r="D102" s="214">
        <v>0.27500000000000002</v>
      </c>
      <c r="E102" s="407">
        <v>0.27200000000000002</v>
      </c>
      <c r="F102" s="214">
        <v>0.27200000000000002</v>
      </c>
      <c r="G102" s="214">
        <v>0.27400000000000002</v>
      </c>
      <c r="H102" s="414">
        <v>0.27400000000000002</v>
      </c>
      <c r="I102" s="415">
        <v>0.27400000000000002</v>
      </c>
      <c r="J102" s="228"/>
      <c r="K102" s="228"/>
      <c r="L102" s="228"/>
      <c r="M102" s="228"/>
      <c r="N102" s="228"/>
      <c r="O102" s="228"/>
      <c r="P102" s="228"/>
      <c r="Q102" s="228"/>
      <c r="R102" s="228"/>
      <c r="S102" s="228"/>
      <c r="T102" s="228"/>
    </row>
    <row r="103" spans="1:20" s="79" customFormat="1" x14ac:dyDescent="0.3">
      <c r="A103" s="93" t="s">
        <v>44</v>
      </c>
      <c r="B103" s="90" t="s">
        <v>21</v>
      </c>
      <c r="C103" s="384">
        <v>1.575</v>
      </c>
      <c r="D103" s="404">
        <v>1.5329999999999999</v>
      </c>
      <c r="E103" s="407">
        <v>1.5720000000000001</v>
      </c>
      <c r="F103" s="384">
        <v>1.5720000000000001</v>
      </c>
      <c r="G103" s="404">
        <v>1.5720000000000001</v>
      </c>
      <c r="H103" s="416">
        <v>1.5720000000000001</v>
      </c>
      <c r="I103" s="417">
        <v>1.5720000000000001</v>
      </c>
      <c r="J103" s="228"/>
      <c r="K103" s="228"/>
      <c r="L103" s="228"/>
      <c r="M103" s="228"/>
      <c r="N103" s="228"/>
      <c r="O103" s="228"/>
      <c r="P103" s="228"/>
      <c r="Q103" s="228"/>
      <c r="R103" s="228"/>
      <c r="S103" s="228"/>
      <c r="T103" s="228"/>
    </row>
    <row r="104" spans="1:20" s="79" customFormat="1" x14ac:dyDescent="0.3">
      <c r="A104" s="93" t="s">
        <v>276</v>
      </c>
      <c r="B104" s="90" t="s">
        <v>21</v>
      </c>
      <c r="C104" s="385">
        <v>8.4000000000000075E-2</v>
      </c>
      <c r="D104" s="214">
        <v>8.3000000000000004E-2</v>
      </c>
      <c r="E104" s="214">
        <v>9.2999999999999999E-2</v>
      </c>
      <c r="F104" s="214">
        <f t="shared" ref="F104:I104" si="29">F98-(F100+F102+F103)</f>
        <v>9.2999999999999972E-2</v>
      </c>
      <c r="G104" s="214">
        <v>9.2999999999999999E-2</v>
      </c>
      <c r="H104" s="214">
        <f t="shared" si="29"/>
        <v>9.2999999999999972E-2</v>
      </c>
      <c r="I104" s="214">
        <f t="shared" si="29"/>
        <v>9.2999999999999972E-2</v>
      </c>
      <c r="J104" s="228"/>
      <c r="K104" s="228"/>
      <c r="L104" s="228"/>
      <c r="M104" s="228"/>
      <c r="N104" s="228"/>
      <c r="O104" s="228"/>
      <c r="P104" s="228"/>
      <c r="Q104" s="228"/>
      <c r="R104" s="228"/>
      <c r="S104" s="228"/>
      <c r="T104" s="228"/>
    </row>
    <row r="105" spans="1:20" s="79" customFormat="1" ht="56.25" x14ac:dyDescent="0.3">
      <c r="A105" s="409" t="s">
        <v>505</v>
      </c>
      <c r="B105" s="90" t="s">
        <v>22</v>
      </c>
      <c r="C105" s="418">
        <v>1.5049999999999999</v>
      </c>
      <c r="D105" s="410">
        <f>1.505*94%</f>
        <v>1.4146999999999998</v>
      </c>
      <c r="E105" s="411">
        <f>D105</f>
        <v>1.4146999999999998</v>
      </c>
      <c r="F105" s="410">
        <v>1.4146999999999998</v>
      </c>
      <c r="G105" s="410">
        <v>1.4146999999999998</v>
      </c>
      <c r="H105" s="410">
        <v>1.4146999999999998</v>
      </c>
      <c r="I105" s="419">
        <v>1.4146999999999998</v>
      </c>
      <c r="J105" s="228"/>
      <c r="K105" s="228"/>
      <c r="L105" s="228"/>
      <c r="M105" s="228"/>
      <c r="N105" s="228"/>
      <c r="O105" s="228"/>
      <c r="P105" s="228"/>
      <c r="Q105" s="228"/>
      <c r="R105" s="228"/>
      <c r="S105" s="228"/>
      <c r="T105" s="228"/>
    </row>
    <row r="106" spans="1:20" s="79" customFormat="1" ht="19.5" x14ac:dyDescent="0.2">
      <c r="A106" s="403" t="s">
        <v>23</v>
      </c>
      <c r="B106" s="90"/>
      <c r="C106" s="209"/>
      <c r="D106" s="210"/>
      <c r="E106" s="407"/>
      <c r="F106" s="210"/>
      <c r="G106" s="392"/>
      <c r="H106" s="210"/>
      <c r="I106" s="392"/>
      <c r="J106" s="228"/>
      <c r="K106" s="228"/>
      <c r="L106" s="228"/>
      <c r="M106" s="228"/>
      <c r="N106" s="228"/>
      <c r="O106" s="228"/>
      <c r="P106" s="228"/>
      <c r="Q106" s="228"/>
      <c r="R106" s="228"/>
      <c r="S106" s="228"/>
      <c r="T106" s="228"/>
    </row>
    <row r="107" spans="1:20" s="79" customFormat="1" ht="37.5" x14ac:dyDescent="0.3">
      <c r="A107" s="420" t="s">
        <v>269</v>
      </c>
      <c r="B107" s="90" t="s">
        <v>22</v>
      </c>
      <c r="C107" s="214">
        <v>1.4E-2</v>
      </c>
      <c r="D107" s="214">
        <v>1.4E-2</v>
      </c>
      <c r="E107" s="407">
        <f t="shared" ref="E107:E118" si="30">D107</f>
        <v>1.4E-2</v>
      </c>
      <c r="F107" s="214">
        <v>1.4E-2</v>
      </c>
      <c r="G107" s="214">
        <v>1.4E-2</v>
      </c>
      <c r="H107" s="214">
        <v>1.4E-2</v>
      </c>
      <c r="I107" s="214">
        <v>1.4E-2</v>
      </c>
      <c r="J107" s="228"/>
      <c r="K107" s="228"/>
      <c r="L107" s="228"/>
      <c r="M107" s="228"/>
      <c r="N107" s="228"/>
      <c r="O107" s="228"/>
      <c r="P107" s="228"/>
      <c r="Q107" s="228"/>
      <c r="R107" s="228"/>
      <c r="S107" s="228"/>
      <c r="T107" s="228"/>
    </row>
    <row r="108" spans="1:20" s="79" customFormat="1" ht="37.5" x14ac:dyDescent="0.2">
      <c r="A108" s="421" t="s">
        <v>136</v>
      </c>
      <c r="B108" s="90" t="s">
        <v>21</v>
      </c>
      <c r="C108" s="396">
        <v>0</v>
      </c>
      <c r="D108" s="396">
        <v>0</v>
      </c>
      <c r="E108" s="422">
        <v>0</v>
      </c>
      <c r="F108" s="396">
        <v>0</v>
      </c>
      <c r="G108" s="396">
        <v>0</v>
      </c>
      <c r="H108" s="396">
        <v>0</v>
      </c>
      <c r="I108" s="396">
        <v>0</v>
      </c>
      <c r="J108" s="228"/>
      <c r="K108" s="228"/>
      <c r="L108" s="228"/>
      <c r="M108" s="228"/>
      <c r="N108" s="228"/>
      <c r="O108" s="228"/>
      <c r="P108" s="228"/>
      <c r="Q108" s="228"/>
      <c r="R108" s="228"/>
      <c r="S108" s="228"/>
      <c r="T108" s="228"/>
    </row>
    <row r="109" spans="1:20" s="79" customFormat="1" x14ac:dyDescent="0.3">
      <c r="A109" s="423" t="s">
        <v>137</v>
      </c>
      <c r="B109" s="90" t="s">
        <v>22</v>
      </c>
      <c r="C109" s="396">
        <v>0</v>
      </c>
      <c r="D109" s="396">
        <v>0</v>
      </c>
      <c r="E109" s="422">
        <v>0</v>
      </c>
      <c r="F109" s="396">
        <v>0</v>
      </c>
      <c r="G109" s="396">
        <v>0</v>
      </c>
      <c r="H109" s="396">
        <v>0</v>
      </c>
      <c r="I109" s="396">
        <v>0</v>
      </c>
      <c r="J109" s="228"/>
      <c r="K109" s="228"/>
      <c r="L109" s="228"/>
      <c r="M109" s="228"/>
      <c r="N109" s="228"/>
      <c r="O109" s="228"/>
      <c r="P109" s="228"/>
      <c r="Q109" s="228"/>
      <c r="R109" s="228"/>
      <c r="S109" s="228"/>
      <c r="T109" s="228"/>
    </row>
    <row r="110" spans="1:20" s="79" customFormat="1" x14ac:dyDescent="0.3">
      <c r="A110" s="423" t="s">
        <v>138</v>
      </c>
      <c r="B110" s="90" t="s">
        <v>22</v>
      </c>
      <c r="C110" s="384">
        <v>8.9999999999999993E-3</v>
      </c>
      <c r="D110" s="384">
        <v>8.9999999999999993E-3</v>
      </c>
      <c r="E110" s="407">
        <f t="shared" si="30"/>
        <v>8.9999999999999993E-3</v>
      </c>
      <c r="F110" s="384">
        <v>8.9999999999999993E-3</v>
      </c>
      <c r="G110" s="384">
        <v>8.9999999999999993E-3</v>
      </c>
      <c r="H110" s="384">
        <v>8.9999999999999993E-3</v>
      </c>
      <c r="I110" s="384">
        <v>8.9999999999999993E-3</v>
      </c>
      <c r="J110" s="228"/>
      <c r="K110" s="228"/>
      <c r="L110" s="228"/>
      <c r="M110" s="228"/>
      <c r="N110" s="228"/>
      <c r="O110" s="228"/>
      <c r="P110" s="228"/>
      <c r="Q110" s="228"/>
      <c r="R110" s="228"/>
      <c r="S110" s="228"/>
      <c r="T110" s="228"/>
    </row>
    <row r="111" spans="1:20" s="79" customFormat="1" ht="24" customHeight="1" x14ac:dyDescent="0.2">
      <c r="A111" s="368" t="s">
        <v>42</v>
      </c>
      <c r="B111" s="90" t="s">
        <v>22</v>
      </c>
      <c r="C111" s="396">
        <v>0</v>
      </c>
      <c r="D111" s="396">
        <v>0</v>
      </c>
      <c r="E111" s="396">
        <v>0</v>
      </c>
      <c r="F111" s="396">
        <v>0</v>
      </c>
      <c r="G111" s="396">
        <v>0</v>
      </c>
      <c r="H111" s="396">
        <v>0</v>
      </c>
      <c r="I111" s="396">
        <v>0</v>
      </c>
      <c r="J111" s="228"/>
      <c r="K111" s="228"/>
      <c r="L111" s="228"/>
      <c r="M111" s="228"/>
      <c r="N111" s="228"/>
      <c r="O111" s="228"/>
      <c r="P111" s="228"/>
      <c r="Q111" s="228"/>
      <c r="R111" s="228"/>
      <c r="S111" s="228"/>
      <c r="T111" s="228"/>
    </row>
    <row r="112" spans="1:20" s="79" customFormat="1" x14ac:dyDescent="0.3">
      <c r="A112" s="423" t="s">
        <v>43</v>
      </c>
      <c r="B112" s="90" t="s">
        <v>21</v>
      </c>
      <c r="C112" s="384">
        <v>0.29799999999999999</v>
      </c>
      <c r="D112" s="384">
        <f>0.298-0.014</f>
        <v>0.28399999999999997</v>
      </c>
      <c r="E112" s="407">
        <f t="shared" si="30"/>
        <v>0.28399999999999997</v>
      </c>
      <c r="F112" s="384">
        <v>0.28399999999999997</v>
      </c>
      <c r="G112" s="384">
        <v>0.28399999999999997</v>
      </c>
      <c r="H112" s="384">
        <v>0.28399999999999997</v>
      </c>
      <c r="I112" s="384">
        <v>0.28399999999999997</v>
      </c>
      <c r="J112" s="228"/>
      <c r="K112" s="228"/>
      <c r="L112" s="228"/>
      <c r="M112" s="228"/>
      <c r="N112" s="228"/>
      <c r="O112" s="228"/>
      <c r="P112" s="228"/>
      <c r="Q112" s="228"/>
      <c r="R112" s="228"/>
      <c r="S112" s="228"/>
      <c r="T112" s="228"/>
    </row>
    <row r="113" spans="1:20" s="79" customFormat="1" ht="37.5" x14ac:dyDescent="0.2">
      <c r="A113" s="421" t="s">
        <v>139</v>
      </c>
      <c r="B113" s="90" t="s">
        <v>21</v>
      </c>
      <c r="C113" s="384">
        <v>3.1E-2</v>
      </c>
      <c r="D113" s="384">
        <v>0.13300000000000001</v>
      </c>
      <c r="E113" s="407">
        <f t="shared" si="30"/>
        <v>0.13300000000000001</v>
      </c>
      <c r="F113" s="384">
        <v>0.13300000000000001</v>
      </c>
      <c r="G113" s="384">
        <v>0.13300000000000001</v>
      </c>
      <c r="H113" s="384">
        <v>0.13300000000000001</v>
      </c>
      <c r="I113" s="384">
        <v>0.13300000000000001</v>
      </c>
      <c r="J113" s="228"/>
      <c r="K113" s="228"/>
      <c r="L113" s="228"/>
      <c r="M113" s="228"/>
      <c r="N113" s="228"/>
      <c r="O113" s="228"/>
      <c r="P113" s="228"/>
      <c r="Q113" s="228"/>
      <c r="R113" s="228"/>
      <c r="S113" s="228"/>
      <c r="T113" s="228"/>
    </row>
    <row r="114" spans="1:20" s="79" customFormat="1" ht="56.25" x14ac:dyDescent="0.3">
      <c r="A114" s="423" t="s">
        <v>140</v>
      </c>
      <c r="B114" s="90" t="s">
        <v>21</v>
      </c>
      <c r="C114" s="384">
        <v>6.8000000000000005E-2</v>
      </c>
      <c r="D114" s="384">
        <v>6.4000000000000001E-2</v>
      </c>
      <c r="E114" s="407">
        <f t="shared" si="30"/>
        <v>6.4000000000000001E-2</v>
      </c>
      <c r="F114" s="384">
        <v>6.4000000000000001E-2</v>
      </c>
      <c r="G114" s="384">
        <v>6.4000000000000001E-2</v>
      </c>
      <c r="H114" s="384">
        <v>6.4000000000000001E-2</v>
      </c>
      <c r="I114" s="384">
        <v>6.4000000000000001E-2</v>
      </c>
      <c r="J114" s="228"/>
      <c r="K114" s="255"/>
      <c r="L114" s="228"/>
      <c r="M114" s="228"/>
      <c r="N114" s="228"/>
      <c r="O114" s="228"/>
      <c r="P114" s="228"/>
      <c r="Q114" s="228"/>
      <c r="R114" s="228"/>
      <c r="S114" s="228"/>
      <c r="T114" s="228"/>
    </row>
    <row r="115" spans="1:20" s="79" customFormat="1" x14ac:dyDescent="0.3">
      <c r="A115" s="423" t="s">
        <v>12</v>
      </c>
      <c r="B115" s="90" t="s">
        <v>21</v>
      </c>
      <c r="C115" s="214">
        <v>8.1794766966475876E-2</v>
      </c>
      <c r="D115" s="214">
        <f>C115-0.031</f>
        <v>5.0794766966475877E-2</v>
      </c>
      <c r="E115" s="407">
        <f>D115</f>
        <v>5.0794766966475877E-2</v>
      </c>
      <c r="F115" s="214">
        <v>5.0794766966475877E-2</v>
      </c>
      <c r="G115" s="214">
        <v>5.0794766966475877E-2</v>
      </c>
      <c r="H115" s="214">
        <v>5.0794766966475877E-2</v>
      </c>
      <c r="I115" s="214">
        <v>5.0794766966475877E-2</v>
      </c>
      <c r="J115" s="573"/>
      <c r="K115" s="261"/>
      <c r="L115" s="574"/>
      <c r="M115" s="228"/>
      <c r="N115" s="228"/>
      <c r="O115" s="228"/>
      <c r="P115" s="228"/>
      <c r="Q115" s="228"/>
      <c r="R115" s="228"/>
      <c r="S115" s="228"/>
      <c r="T115" s="228"/>
    </row>
    <row r="116" spans="1:20" s="79" customFormat="1" ht="37.5" x14ac:dyDescent="0.3">
      <c r="A116" s="423" t="s">
        <v>141</v>
      </c>
      <c r="B116" s="90" t="s">
        <v>21</v>
      </c>
      <c r="C116" s="214">
        <v>0.25313327882256742</v>
      </c>
      <c r="D116" s="214">
        <f>C116-0.028</f>
        <v>0.22513327882256742</v>
      </c>
      <c r="E116" s="407">
        <f t="shared" si="30"/>
        <v>0.22513327882256742</v>
      </c>
      <c r="F116" s="214">
        <v>0.22513327882256742</v>
      </c>
      <c r="G116" s="214">
        <v>0.22513327882256742</v>
      </c>
      <c r="H116" s="214">
        <v>0.22513327882256742</v>
      </c>
      <c r="I116" s="214">
        <v>0.22513327882256742</v>
      </c>
      <c r="J116" s="573"/>
      <c r="K116" s="261"/>
      <c r="L116" s="574"/>
      <c r="M116" s="228"/>
      <c r="N116" s="228"/>
      <c r="O116" s="228"/>
      <c r="P116" s="228"/>
      <c r="Q116" s="228"/>
      <c r="R116" s="228"/>
      <c r="S116" s="228"/>
      <c r="T116" s="228"/>
    </row>
    <row r="117" spans="1:20" s="79" customFormat="1" x14ac:dyDescent="0.2">
      <c r="A117" s="368" t="s">
        <v>170</v>
      </c>
      <c r="B117" s="90"/>
      <c r="C117" s="384">
        <v>4.4999999999999998E-2</v>
      </c>
      <c r="D117" s="384">
        <f>0.045-0.007</f>
        <v>3.7999999999999999E-2</v>
      </c>
      <c r="E117" s="407">
        <f t="shared" si="30"/>
        <v>3.7999999999999999E-2</v>
      </c>
      <c r="F117" s="384">
        <v>3.7999999999999999E-2</v>
      </c>
      <c r="G117" s="384">
        <v>3.7999999999999999E-2</v>
      </c>
      <c r="H117" s="384">
        <v>3.7999999999999999E-2</v>
      </c>
      <c r="I117" s="384">
        <v>3.7999999999999999E-2</v>
      </c>
      <c r="J117" s="573"/>
      <c r="K117" s="261"/>
      <c r="L117" s="574"/>
      <c r="M117" s="228"/>
      <c r="N117" s="228"/>
      <c r="O117" s="228"/>
      <c r="P117" s="228"/>
      <c r="Q117" s="228"/>
      <c r="R117" s="228"/>
      <c r="S117" s="228"/>
      <c r="T117" s="228"/>
    </row>
    <row r="118" spans="1:20" s="79" customFormat="1" x14ac:dyDescent="0.2">
      <c r="A118" s="368" t="s">
        <v>171</v>
      </c>
      <c r="B118" s="90"/>
      <c r="C118" s="384">
        <v>1.4E-2</v>
      </c>
      <c r="D118" s="384">
        <v>1.4E-2</v>
      </c>
      <c r="E118" s="407">
        <f t="shared" si="30"/>
        <v>1.4E-2</v>
      </c>
      <c r="F118" s="384">
        <v>1.4E-2</v>
      </c>
      <c r="G118" s="384">
        <v>1.4E-2</v>
      </c>
      <c r="H118" s="384">
        <v>1.4E-2</v>
      </c>
      <c r="I118" s="384">
        <v>1.4E-2</v>
      </c>
      <c r="J118" s="573"/>
      <c r="K118" s="261"/>
      <c r="L118" s="574"/>
      <c r="M118" s="228"/>
      <c r="N118" s="228"/>
      <c r="O118" s="228"/>
      <c r="P118" s="228"/>
      <c r="Q118" s="228"/>
      <c r="R118" s="228"/>
      <c r="S118" s="228"/>
      <c r="T118" s="228"/>
    </row>
    <row r="119" spans="1:20" s="79" customFormat="1" x14ac:dyDescent="0.3">
      <c r="A119" s="423" t="s">
        <v>47</v>
      </c>
      <c r="B119" s="90" t="s">
        <v>21</v>
      </c>
      <c r="C119" s="214">
        <f>C105-(C107+C110+C112+C113+C114+C115+C116+C117+C118)</f>
        <v>0.69107195421095657</v>
      </c>
      <c r="D119" s="214">
        <f>D105-(D107+D110+D112+D113+D114+D115+D116+D117+D118)</f>
        <v>0.58277195421095651</v>
      </c>
      <c r="E119" s="214">
        <f>E105-(E107+E110+E112+E113+E114+E115+E116+E117+E118)</f>
        <v>0.58277195421095651</v>
      </c>
      <c r="F119" s="214">
        <f t="shared" ref="F119:H119" si="31">F105-(F107+F110+F112+F113+F114+F115+F116+F117+F118)</f>
        <v>0.58277195421095651</v>
      </c>
      <c r="G119" s="214">
        <f t="shared" si="31"/>
        <v>0.58277195421095651</v>
      </c>
      <c r="H119" s="214">
        <f t="shared" si="31"/>
        <v>0.58277195421095651</v>
      </c>
      <c r="I119" s="214">
        <f>I105-(I107+I110+I112+I113+I114+I115+I116+I117+I118)</f>
        <v>0.58277195421095651</v>
      </c>
      <c r="J119" s="573"/>
      <c r="K119" s="261"/>
      <c r="L119" s="574"/>
      <c r="M119" s="228"/>
      <c r="N119" s="228"/>
      <c r="O119" s="228"/>
      <c r="P119" s="228"/>
      <c r="Q119" s="228"/>
      <c r="R119" s="228"/>
      <c r="S119" s="228"/>
      <c r="T119" s="228"/>
    </row>
    <row r="120" spans="1:20" s="79" customFormat="1" ht="39" x14ac:dyDescent="0.2">
      <c r="A120" s="403" t="s">
        <v>91</v>
      </c>
      <c r="B120" s="90" t="s">
        <v>8</v>
      </c>
      <c r="C120" s="370">
        <v>0.7</v>
      </c>
      <c r="D120" s="370">
        <v>0.4</v>
      </c>
      <c r="E120" s="370">
        <v>0.4</v>
      </c>
      <c r="F120" s="370">
        <v>0.5</v>
      </c>
      <c r="G120" s="373">
        <v>0.4</v>
      </c>
      <c r="H120" s="370">
        <v>0.5</v>
      </c>
      <c r="I120" s="373">
        <v>0.5</v>
      </c>
      <c r="J120" s="228"/>
      <c r="K120" s="261"/>
      <c r="L120" s="228"/>
      <c r="M120" s="228"/>
      <c r="N120" s="228"/>
      <c r="O120" s="228"/>
      <c r="P120" s="228"/>
      <c r="Q120" s="228"/>
      <c r="R120" s="228"/>
      <c r="S120" s="228"/>
      <c r="T120" s="228"/>
    </row>
    <row r="121" spans="1:20" s="79" customFormat="1" ht="58.5" x14ac:dyDescent="0.2">
      <c r="A121" s="403" t="s">
        <v>71</v>
      </c>
      <c r="B121" s="90" t="s">
        <v>9</v>
      </c>
      <c r="C121" s="373">
        <v>32581.101986736008</v>
      </c>
      <c r="D121" s="373">
        <f>D147/D80/12*1000</f>
        <v>34050.946742605913</v>
      </c>
      <c r="E121" s="373">
        <f>E147/E80/12*1000</f>
        <v>35881.636241267624</v>
      </c>
      <c r="F121" s="373">
        <f>F147/F80/12*1000</f>
        <v>36885.269521817063</v>
      </c>
      <c r="G121" s="373">
        <f>G147/G80/12*1000</f>
        <v>36885.269521817063</v>
      </c>
      <c r="H121" s="373">
        <f t="shared" ref="H121:I121" si="32">H147/H80/12*1000</f>
        <v>37918.010496117939</v>
      </c>
      <c r="I121" s="373">
        <f t="shared" si="32"/>
        <v>38865.757004664621</v>
      </c>
      <c r="J121" s="569" t="s">
        <v>503</v>
      </c>
      <c r="K121" s="255"/>
      <c r="L121" s="228"/>
      <c r="M121" s="228"/>
      <c r="N121" s="228"/>
      <c r="O121" s="228"/>
      <c r="P121" s="228"/>
      <c r="Q121" s="228"/>
      <c r="R121" s="228"/>
      <c r="S121" s="228"/>
      <c r="T121" s="228"/>
    </row>
    <row r="122" spans="1:20" s="79" customFormat="1" ht="19.5" x14ac:dyDescent="0.2">
      <c r="A122" s="403" t="s">
        <v>23</v>
      </c>
      <c r="B122" s="90"/>
      <c r="C122" s="209"/>
      <c r="D122" s="209"/>
      <c r="E122" s="209"/>
      <c r="F122" s="209"/>
      <c r="G122" s="209"/>
      <c r="H122" s="209"/>
      <c r="I122" s="209"/>
      <c r="J122" s="567">
        <v>1.054</v>
      </c>
      <c r="K122" s="228"/>
      <c r="L122" s="567">
        <v>1.028</v>
      </c>
      <c r="M122" s="567">
        <v>1.028</v>
      </c>
      <c r="N122" s="567">
        <v>1.0249999999999999</v>
      </c>
      <c r="O122" s="228"/>
      <c r="P122" s="228"/>
      <c r="Q122" s="228"/>
      <c r="R122" s="228"/>
      <c r="S122" s="228"/>
      <c r="T122" s="228"/>
    </row>
    <row r="123" spans="1:20" s="79" customFormat="1" ht="37.5" x14ac:dyDescent="0.3">
      <c r="A123" s="405" t="s">
        <v>135</v>
      </c>
      <c r="B123" s="90" t="s">
        <v>9</v>
      </c>
      <c r="C123" s="424">
        <v>29576.3</v>
      </c>
      <c r="D123" s="384">
        <v>34963</v>
      </c>
      <c r="E123" s="384">
        <f>D123*$J$122</f>
        <v>36851.002</v>
      </c>
      <c r="F123" s="404">
        <v>37882.830055999999</v>
      </c>
      <c r="G123" s="404">
        <f>E123*$L$122</f>
        <v>37882.830055999999</v>
      </c>
      <c r="H123" s="404">
        <f>G123*$M$122</f>
        <v>38943.549297568003</v>
      </c>
      <c r="I123" s="404">
        <f>H123*$N$122</f>
        <v>39917.138030007198</v>
      </c>
      <c r="J123" s="228"/>
      <c r="K123" s="228"/>
      <c r="L123" s="228"/>
      <c r="M123" s="228"/>
      <c r="N123" s="228"/>
      <c r="O123" s="228"/>
      <c r="P123" s="228"/>
      <c r="Q123" s="228"/>
      <c r="R123" s="228"/>
      <c r="S123" s="228"/>
      <c r="T123" s="228"/>
    </row>
    <row r="124" spans="1:20" s="79" customFormat="1" ht="37.5" x14ac:dyDescent="0.2">
      <c r="A124" s="366" t="s">
        <v>136</v>
      </c>
      <c r="B124" s="90" t="s">
        <v>9</v>
      </c>
      <c r="C124" s="384"/>
      <c r="D124" s="384"/>
      <c r="E124" s="384">
        <f t="shared" ref="E124:E138" si="33">D124*$J$122</f>
        <v>0</v>
      </c>
      <c r="F124" s="404">
        <v>0</v>
      </c>
      <c r="G124" s="404">
        <f t="shared" ref="G124:G138" si="34">E124*$L$122</f>
        <v>0</v>
      </c>
      <c r="H124" s="404">
        <f t="shared" ref="H124:H138" si="35">G124*$M$122</f>
        <v>0</v>
      </c>
      <c r="I124" s="404">
        <f t="shared" ref="I124:I138" si="36">H124*$N$122</f>
        <v>0</v>
      </c>
      <c r="J124" s="228"/>
      <c r="K124" s="228"/>
      <c r="L124" s="228"/>
      <c r="M124" s="228"/>
      <c r="N124" s="228"/>
      <c r="O124" s="228"/>
      <c r="P124" s="228"/>
      <c r="Q124" s="228"/>
      <c r="R124" s="228"/>
      <c r="S124" s="228"/>
      <c r="T124" s="228"/>
    </row>
    <row r="125" spans="1:20" s="79" customFormat="1" x14ac:dyDescent="0.3">
      <c r="A125" s="408" t="s">
        <v>137</v>
      </c>
      <c r="B125" s="90" t="s">
        <v>9</v>
      </c>
      <c r="C125" s="384"/>
      <c r="D125" s="384"/>
      <c r="E125" s="384">
        <f t="shared" si="33"/>
        <v>0</v>
      </c>
      <c r="F125" s="404">
        <v>0</v>
      </c>
      <c r="G125" s="404">
        <f t="shared" si="34"/>
        <v>0</v>
      </c>
      <c r="H125" s="404">
        <f t="shared" si="35"/>
        <v>0</v>
      </c>
      <c r="I125" s="404">
        <f t="shared" si="36"/>
        <v>0</v>
      </c>
      <c r="J125" s="228"/>
      <c r="K125" s="228"/>
      <c r="L125" s="228"/>
      <c r="M125" s="228"/>
      <c r="N125" s="228"/>
      <c r="O125" s="228"/>
      <c r="P125" s="228"/>
      <c r="Q125" s="228"/>
      <c r="R125" s="228"/>
      <c r="S125" s="228"/>
      <c r="T125" s="228"/>
    </row>
    <row r="126" spans="1:20" s="79" customFormat="1" x14ac:dyDescent="0.3">
      <c r="A126" s="408" t="s">
        <v>138</v>
      </c>
      <c r="B126" s="90" t="s">
        <v>9</v>
      </c>
      <c r="C126" s="384"/>
      <c r="D126" s="384"/>
      <c r="E126" s="384">
        <f t="shared" si="33"/>
        <v>0</v>
      </c>
      <c r="F126" s="404">
        <v>0</v>
      </c>
      <c r="G126" s="404">
        <f t="shared" si="34"/>
        <v>0</v>
      </c>
      <c r="H126" s="404">
        <f t="shared" si="35"/>
        <v>0</v>
      </c>
      <c r="I126" s="404">
        <f t="shared" si="36"/>
        <v>0</v>
      </c>
      <c r="J126" s="228"/>
      <c r="K126" s="228"/>
      <c r="L126" s="228"/>
      <c r="M126" s="228"/>
      <c r="N126" s="228"/>
      <c r="O126" s="228"/>
      <c r="P126" s="228"/>
      <c r="Q126" s="228"/>
      <c r="R126" s="228"/>
      <c r="S126" s="228"/>
      <c r="T126" s="228"/>
    </row>
    <row r="127" spans="1:20" s="79" customFormat="1" x14ac:dyDescent="0.3">
      <c r="A127" s="408" t="s">
        <v>42</v>
      </c>
      <c r="B127" s="90" t="s">
        <v>9</v>
      </c>
      <c r="C127" s="425">
        <v>49273.2</v>
      </c>
      <c r="D127" s="384">
        <v>58077.4</v>
      </c>
      <c r="E127" s="384">
        <f>D127*$J$122</f>
        <v>61213.579600000005</v>
      </c>
      <c r="F127" s="404">
        <v>62927.559828800004</v>
      </c>
      <c r="G127" s="404">
        <f t="shared" si="34"/>
        <v>62927.559828800004</v>
      </c>
      <c r="H127" s="404">
        <f t="shared" si="35"/>
        <v>64689.531504006409</v>
      </c>
      <c r="I127" s="404">
        <f t="shared" si="36"/>
        <v>66306.769791606566</v>
      </c>
      <c r="J127" s="228"/>
      <c r="K127" s="228"/>
      <c r="L127" s="228"/>
      <c r="M127" s="228"/>
      <c r="N127" s="228"/>
      <c r="O127" s="228"/>
      <c r="P127" s="228"/>
      <c r="Q127" s="228"/>
      <c r="R127" s="228"/>
      <c r="S127" s="228"/>
      <c r="T127" s="228"/>
    </row>
    <row r="128" spans="1:20" s="79" customFormat="1" x14ac:dyDescent="0.3">
      <c r="A128" s="408" t="s">
        <v>43</v>
      </c>
      <c r="B128" s="90" t="s">
        <v>9</v>
      </c>
      <c r="C128" s="425">
        <v>36046.1</v>
      </c>
      <c r="D128" s="384">
        <v>46281.7</v>
      </c>
      <c r="E128" s="384">
        <f t="shared" si="33"/>
        <v>48780.911800000002</v>
      </c>
      <c r="F128" s="404">
        <v>50146.7773304</v>
      </c>
      <c r="G128" s="404">
        <f t="shared" si="34"/>
        <v>50146.7773304</v>
      </c>
      <c r="H128" s="404">
        <f t="shared" si="35"/>
        <v>51550.887095651204</v>
      </c>
      <c r="I128" s="404">
        <f t="shared" si="36"/>
        <v>52839.659273042482</v>
      </c>
      <c r="J128" s="228"/>
      <c r="K128" s="228"/>
      <c r="L128" s="228"/>
      <c r="M128" s="228"/>
      <c r="N128" s="228"/>
      <c r="O128" s="228"/>
      <c r="P128" s="228"/>
      <c r="Q128" s="228"/>
      <c r="R128" s="228"/>
      <c r="S128" s="228"/>
      <c r="T128" s="228"/>
    </row>
    <row r="129" spans="1:20" s="79" customFormat="1" ht="37.5" x14ac:dyDescent="0.2">
      <c r="A129" s="421" t="s">
        <v>139</v>
      </c>
      <c r="B129" s="90" t="s">
        <v>9</v>
      </c>
      <c r="C129" s="425">
        <v>37014.800000000003</v>
      </c>
      <c r="D129" s="384">
        <v>52240.3</v>
      </c>
      <c r="E129" s="384">
        <f t="shared" si="33"/>
        <v>55061.276200000008</v>
      </c>
      <c r="F129" s="404">
        <v>56602.991933600009</v>
      </c>
      <c r="G129" s="404">
        <f t="shared" si="34"/>
        <v>56602.991933600009</v>
      </c>
      <c r="H129" s="404">
        <f t="shared" si="35"/>
        <v>58187.875707740808</v>
      </c>
      <c r="I129" s="404">
        <f t="shared" si="36"/>
        <v>59642.572600434323</v>
      </c>
      <c r="J129" s="228"/>
      <c r="K129" s="228"/>
      <c r="L129" s="228"/>
      <c r="M129" s="228"/>
      <c r="N129" s="228"/>
      <c r="O129" s="228"/>
      <c r="P129" s="228"/>
      <c r="Q129" s="228"/>
      <c r="R129" s="228"/>
      <c r="S129" s="228"/>
      <c r="T129" s="228"/>
    </row>
    <row r="130" spans="1:20" s="79" customFormat="1" x14ac:dyDescent="0.3">
      <c r="A130" s="408" t="s">
        <v>140</v>
      </c>
      <c r="B130" s="90" t="s">
        <v>9</v>
      </c>
      <c r="C130" s="425">
        <v>31367.200000000001</v>
      </c>
      <c r="D130" s="384">
        <v>34970</v>
      </c>
      <c r="E130" s="384">
        <f t="shared" si="33"/>
        <v>36858.380000000005</v>
      </c>
      <c r="F130" s="404">
        <v>37890.414640000003</v>
      </c>
      <c r="G130" s="404">
        <f t="shared" si="34"/>
        <v>37890.414640000003</v>
      </c>
      <c r="H130" s="404">
        <f t="shared" si="35"/>
        <v>38951.346249920003</v>
      </c>
      <c r="I130" s="404">
        <f t="shared" si="36"/>
        <v>39925.129906167997</v>
      </c>
      <c r="J130" s="228"/>
      <c r="K130" s="228"/>
      <c r="L130" s="228"/>
      <c r="M130" s="228"/>
      <c r="N130" s="228"/>
      <c r="O130" s="228"/>
      <c r="P130" s="228"/>
      <c r="Q130" s="228"/>
      <c r="R130" s="228"/>
      <c r="S130" s="228"/>
      <c r="T130" s="228"/>
    </row>
    <row r="131" spans="1:20" s="79" customFormat="1" x14ac:dyDescent="0.2">
      <c r="A131" s="366" t="s">
        <v>12</v>
      </c>
      <c r="B131" s="90" t="s">
        <v>9</v>
      </c>
      <c r="C131" s="425">
        <v>56341.9</v>
      </c>
      <c r="D131" s="384">
        <v>57638.5</v>
      </c>
      <c r="E131" s="384">
        <f t="shared" si="33"/>
        <v>60750.978999999999</v>
      </c>
      <c r="F131" s="404">
        <v>62452.006412000002</v>
      </c>
      <c r="G131" s="404">
        <f t="shared" si="34"/>
        <v>62452.006412000002</v>
      </c>
      <c r="H131" s="404">
        <f t="shared" si="35"/>
        <v>64200.662591536005</v>
      </c>
      <c r="I131" s="404">
        <f t="shared" si="36"/>
        <v>65805.679156324404</v>
      </c>
      <c r="J131" s="228"/>
      <c r="K131" s="228"/>
      <c r="L131" s="228"/>
      <c r="M131" s="228"/>
      <c r="N131" s="228"/>
      <c r="O131" s="228"/>
      <c r="P131" s="228"/>
      <c r="Q131" s="228"/>
      <c r="R131" s="228"/>
      <c r="S131" s="228"/>
      <c r="T131" s="228"/>
    </row>
    <row r="132" spans="1:20" s="79" customFormat="1" ht="37.5" x14ac:dyDescent="0.3">
      <c r="A132" s="405" t="s">
        <v>141</v>
      </c>
      <c r="B132" s="90" t="s">
        <v>9</v>
      </c>
      <c r="C132" s="425">
        <v>29047.8</v>
      </c>
      <c r="D132" s="384">
        <v>36287</v>
      </c>
      <c r="E132" s="384">
        <f t="shared" si="33"/>
        <v>38246.498</v>
      </c>
      <c r="F132" s="404">
        <v>39317.399943999997</v>
      </c>
      <c r="G132" s="404">
        <f t="shared" si="34"/>
        <v>39317.399943999997</v>
      </c>
      <c r="H132" s="404">
        <f t="shared" si="35"/>
        <v>40418.287142431996</v>
      </c>
      <c r="I132" s="404">
        <f t="shared" si="36"/>
        <v>41428.744320992795</v>
      </c>
      <c r="J132" s="228"/>
      <c r="K132" s="228"/>
      <c r="L132" s="228"/>
      <c r="M132" s="228"/>
      <c r="N132" s="228"/>
      <c r="O132" s="228"/>
      <c r="P132" s="228"/>
      <c r="Q132" s="228"/>
      <c r="R132" s="228"/>
      <c r="S132" s="228"/>
      <c r="T132" s="228"/>
    </row>
    <row r="133" spans="1:20" s="79" customFormat="1" x14ac:dyDescent="0.2">
      <c r="A133" s="368" t="s">
        <v>170</v>
      </c>
      <c r="B133" s="90" t="s">
        <v>9</v>
      </c>
      <c r="C133" s="385">
        <v>39057.843940820509</v>
      </c>
      <c r="D133" s="384">
        <v>54530.65</v>
      </c>
      <c r="E133" s="384">
        <f t="shared" si="33"/>
        <v>57475.305100000005</v>
      </c>
      <c r="F133" s="404">
        <v>59084.61364280001</v>
      </c>
      <c r="G133" s="404">
        <f t="shared" si="34"/>
        <v>59084.61364280001</v>
      </c>
      <c r="H133" s="404">
        <f t="shared" si="35"/>
        <v>60738.982824798411</v>
      </c>
      <c r="I133" s="404">
        <f t="shared" si="36"/>
        <v>62257.457395418365</v>
      </c>
      <c r="J133" s="228"/>
      <c r="K133" s="228"/>
      <c r="L133" s="228"/>
      <c r="M133" s="228"/>
      <c r="N133" s="228"/>
      <c r="O133" s="228"/>
      <c r="P133" s="228"/>
      <c r="Q133" s="228"/>
      <c r="R133" s="228"/>
      <c r="S133" s="228"/>
      <c r="T133" s="228"/>
    </row>
    <row r="134" spans="1:20" s="79" customFormat="1" x14ac:dyDescent="0.2">
      <c r="A134" s="368" t="s">
        <v>171</v>
      </c>
      <c r="B134" s="90" t="s">
        <v>9</v>
      </c>
      <c r="C134" s="385">
        <v>35053.258012500002</v>
      </c>
      <c r="D134" s="384">
        <v>36276.32</v>
      </c>
      <c r="E134" s="384">
        <f t="shared" si="33"/>
        <v>38235.241280000002</v>
      </c>
      <c r="F134" s="404">
        <v>39305.828035840001</v>
      </c>
      <c r="G134" s="404">
        <f t="shared" si="34"/>
        <v>39305.828035840001</v>
      </c>
      <c r="H134" s="404">
        <f t="shared" si="35"/>
        <v>40406.391220843521</v>
      </c>
      <c r="I134" s="404">
        <f t="shared" si="36"/>
        <v>41416.551001364605</v>
      </c>
      <c r="J134" s="228"/>
      <c r="K134" s="228"/>
      <c r="L134" s="228"/>
      <c r="M134" s="228"/>
      <c r="N134" s="228"/>
      <c r="O134" s="228"/>
      <c r="P134" s="228"/>
      <c r="Q134" s="228"/>
      <c r="R134" s="228"/>
      <c r="S134" s="228"/>
      <c r="T134" s="228"/>
    </row>
    <row r="135" spans="1:20" s="79" customFormat="1" ht="37.5" x14ac:dyDescent="0.3">
      <c r="A135" s="405" t="s">
        <v>41</v>
      </c>
      <c r="B135" s="90" t="s">
        <v>9</v>
      </c>
      <c r="C135" s="425">
        <v>57662.400000000001</v>
      </c>
      <c r="D135" s="384">
        <v>64185.599999999999</v>
      </c>
      <c r="E135" s="384">
        <f t="shared" si="33"/>
        <v>67651.622400000007</v>
      </c>
      <c r="F135" s="404">
        <v>69545.867827200011</v>
      </c>
      <c r="G135" s="404">
        <f t="shared" si="34"/>
        <v>69545.867827200011</v>
      </c>
      <c r="H135" s="404">
        <f t="shared" si="35"/>
        <v>71493.152126361616</v>
      </c>
      <c r="I135" s="404">
        <f t="shared" si="36"/>
        <v>73280.480929520651</v>
      </c>
      <c r="J135" s="228"/>
      <c r="K135" s="228"/>
      <c r="L135" s="228"/>
      <c r="M135" s="228"/>
      <c r="N135" s="228"/>
      <c r="O135" s="228"/>
      <c r="P135" s="228"/>
      <c r="Q135" s="228"/>
      <c r="R135" s="228"/>
      <c r="S135" s="228"/>
      <c r="T135" s="228"/>
    </row>
    <row r="136" spans="1:20" s="79" customFormat="1" x14ac:dyDescent="0.3">
      <c r="A136" s="405" t="s">
        <v>44</v>
      </c>
      <c r="B136" s="90" t="s">
        <v>9</v>
      </c>
      <c r="C136" s="425">
        <v>34496</v>
      </c>
      <c r="D136" s="384">
        <v>39733.199999999997</v>
      </c>
      <c r="E136" s="384">
        <f t="shared" si="33"/>
        <v>41878.792799999996</v>
      </c>
      <c r="F136" s="404">
        <v>43051.3989984</v>
      </c>
      <c r="G136" s="404">
        <f t="shared" si="34"/>
        <v>43051.3989984</v>
      </c>
      <c r="H136" s="404">
        <f t="shared" si="35"/>
        <v>44256.8381703552</v>
      </c>
      <c r="I136" s="404">
        <f t="shared" si="36"/>
        <v>45363.25912461408</v>
      </c>
      <c r="J136" s="228"/>
      <c r="K136" s="228"/>
      <c r="L136" s="228"/>
      <c r="M136" s="228"/>
      <c r="N136" s="228"/>
      <c r="O136" s="228"/>
      <c r="P136" s="228"/>
      <c r="Q136" s="228"/>
      <c r="R136" s="228"/>
      <c r="S136" s="228"/>
      <c r="T136" s="228"/>
    </row>
    <row r="137" spans="1:20" s="79" customFormat="1" x14ac:dyDescent="0.3">
      <c r="A137" s="408" t="s">
        <v>45</v>
      </c>
      <c r="B137" s="90" t="s">
        <v>9</v>
      </c>
      <c r="C137" s="425">
        <v>43816.6</v>
      </c>
      <c r="D137" s="384">
        <v>48658</v>
      </c>
      <c r="E137" s="384">
        <f t="shared" si="33"/>
        <v>51285.531999999999</v>
      </c>
      <c r="F137" s="404">
        <v>52721.526896000003</v>
      </c>
      <c r="G137" s="404">
        <f t="shared" si="34"/>
        <v>52721.526896000003</v>
      </c>
      <c r="H137" s="404">
        <f t="shared" si="35"/>
        <v>54197.729649088003</v>
      </c>
      <c r="I137" s="404">
        <f t="shared" si="36"/>
        <v>55552.672890315196</v>
      </c>
      <c r="J137" s="228"/>
      <c r="K137" s="228"/>
      <c r="L137" s="228"/>
      <c r="M137" s="228"/>
      <c r="N137" s="228"/>
      <c r="O137" s="228"/>
      <c r="P137" s="228"/>
      <c r="Q137" s="228"/>
      <c r="R137" s="228"/>
      <c r="S137" s="228"/>
      <c r="T137" s="228"/>
    </row>
    <row r="138" spans="1:20" s="79" customFormat="1" x14ac:dyDescent="0.3">
      <c r="A138" s="408" t="s">
        <v>47</v>
      </c>
      <c r="B138" s="90" t="s">
        <v>9</v>
      </c>
      <c r="C138" s="385">
        <v>21868.251433426132</v>
      </c>
      <c r="D138" s="384">
        <f>C138*99%</f>
        <v>21649.568919091871</v>
      </c>
      <c r="E138" s="384">
        <f t="shared" si="33"/>
        <v>22818.645640722832</v>
      </c>
      <c r="F138" s="404">
        <v>23457.567718663071</v>
      </c>
      <c r="G138" s="404">
        <f t="shared" si="34"/>
        <v>23457.567718663071</v>
      </c>
      <c r="H138" s="404">
        <f t="shared" si="35"/>
        <v>24114.379614785637</v>
      </c>
      <c r="I138" s="404">
        <f t="shared" si="36"/>
        <v>24717.239105155277</v>
      </c>
      <c r="J138" s="228"/>
      <c r="K138" s="228"/>
      <c r="L138" s="228"/>
      <c r="M138" s="228"/>
      <c r="N138" s="228"/>
      <c r="O138" s="228"/>
      <c r="P138" s="228"/>
      <c r="Q138" s="228"/>
      <c r="R138" s="228"/>
      <c r="S138" s="228"/>
      <c r="T138" s="228"/>
    </row>
    <row r="139" spans="1:20" s="79" customFormat="1" ht="58.9" customHeight="1" x14ac:dyDescent="0.3">
      <c r="A139" s="409" t="s">
        <v>507</v>
      </c>
      <c r="B139" s="90" t="s">
        <v>9</v>
      </c>
      <c r="C139" s="385">
        <v>37466.9</v>
      </c>
      <c r="D139" s="385">
        <v>42499.3</v>
      </c>
      <c r="E139" s="385">
        <v>45654.51</v>
      </c>
      <c r="F139" s="385">
        <v>45452.79</v>
      </c>
      <c r="G139" s="385">
        <v>47270.29</v>
      </c>
      <c r="H139" s="385">
        <v>48239.76</v>
      </c>
      <c r="I139" s="385">
        <v>49618.7</v>
      </c>
      <c r="J139" s="228"/>
      <c r="K139" s="228"/>
      <c r="L139" s="228"/>
      <c r="M139" s="228"/>
      <c r="N139" s="228"/>
      <c r="O139" s="228"/>
      <c r="P139" s="228"/>
      <c r="Q139" s="228"/>
      <c r="R139" s="228"/>
      <c r="S139" s="228"/>
      <c r="T139" s="228"/>
    </row>
    <row r="140" spans="1:20" s="79" customFormat="1" x14ac:dyDescent="0.3">
      <c r="A140" s="412" t="s">
        <v>116</v>
      </c>
      <c r="B140" s="90"/>
      <c r="C140" s="209"/>
      <c r="D140" s="210"/>
      <c r="E140" s="210"/>
      <c r="F140" s="210"/>
      <c r="G140" s="392"/>
      <c r="H140" s="210"/>
      <c r="I140" s="392"/>
      <c r="J140" s="228"/>
      <c r="K140" s="228"/>
      <c r="L140" s="228"/>
      <c r="M140" s="228"/>
      <c r="N140" s="228"/>
      <c r="O140" s="228"/>
      <c r="P140" s="228"/>
      <c r="Q140" s="228"/>
      <c r="R140" s="228"/>
      <c r="S140" s="228"/>
      <c r="T140" s="228"/>
    </row>
    <row r="141" spans="1:20" s="79" customFormat="1" ht="25.5" customHeight="1" x14ac:dyDescent="0.3">
      <c r="A141" s="89" t="s">
        <v>279</v>
      </c>
      <c r="B141" s="90" t="s">
        <v>9</v>
      </c>
      <c r="C141" s="426">
        <v>56450.41</v>
      </c>
      <c r="D141" s="426">
        <v>61141.19</v>
      </c>
      <c r="E141" s="427">
        <v>70020.460000000006</v>
      </c>
      <c r="F141" s="427">
        <v>70020.460000000006</v>
      </c>
      <c r="G141" s="427">
        <v>70287.22</v>
      </c>
      <c r="H141" s="427">
        <v>70825.2</v>
      </c>
      <c r="I141" s="427">
        <v>71653.06</v>
      </c>
      <c r="J141" s="228"/>
      <c r="K141" s="228"/>
      <c r="L141" s="228"/>
      <c r="M141" s="228"/>
      <c r="N141" s="228"/>
      <c r="O141" s="228"/>
      <c r="P141" s="228"/>
      <c r="Q141" s="228"/>
      <c r="R141" s="228"/>
      <c r="S141" s="228"/>
      <c r="T141" s="228"/>
    </row>
    <row r="142" spans="1:20" s="79" customFormat="1" x14ac:dyDescent="0.3">
      <c r="A142" s="91" t="s">
        <v>44</v>
      </c>
      <c r="B142" s="90" t="s">
        <v>9</v>
      </c>
      <c r="C142" s="426">
        <v>37819.99</v>
      </c>
      <c r="D142" s="428">
        <v>38731.632644053054</v>
      </c>
      <c r="E142" s="429">
        <v>40662.138630195092</v>
      </c>
      <c r="F142" s="429">
        <v>40662.138630195092</v>
      </c>
      <c r="G142" s="429">
        <v>42370.923731976254</v>
      </c>
      <c r="H142" s="429">
        <v>43885.037113549624</v>
      </c>
      <c r="I142" s="429">
        <v>45312.629730173889</v>
      </c>
      <c r="J142" s="228"/>
      <c r="K142" s="228"/>
      <c r="L142" s="228"/>
      <c r="M142" s="228"/>
      <c r="N142" s="228"/>
      <c r="O142" s="228"/>
      <c r="P142" s="228"/>
      <c r="Q142" s="228"/>
      <c r="R142" s="228"/>
      <c r="S142" s="228"/>
      <c r="T142" s="228"/>
    </row>
    <row r="143" spans="1:20" s="79" customFormat="1" ht="37.5" x14ac:dyDescent="0.2">
      <c r="A143" s="92" t="s">
        <v>266</v>
      </c>
      <c r="B143" s="90" t="s">
        <v>9</v>
      </c>
      <c r="C143" s="426">
        <v>37819.99</v>
      </c>
      <c r="D143" s="427">
        <v>42041.926302681997</v>
      </c>
      <c r="E143" s="427">
        <v>46417.037399735724</v>
      </c>
      <c r="F143" s="427">
        <v>48365.808839752819</v>
      </c>
      <c r="G143" s="427">
        <v>49387.628081207564</v>
      </c>
      <c r="H143" s="427">
        <v>51539.365058838186</v>
      </c>
      <c r="I143" s="427">
        <v>54060.663463581353</v>
      </c>
      <c r="J143" s="228"/>
      <c r="K143" s="228"/>
      <c r="L143" s="228"/>
      <c r="M143" s="228"/>
      <c r="N143" s="228"/>
      <c r="O143" s="228"/>
      <c r="P143" s="228"/>
      <c r="Q143" s="228"/>
      <c r="R143" s="228"/>
      <c r="S143" s="228"/>
      <c r="T143" s="228"/>
    </row>
    <row r="144" spans="1:20" s="79" customFormat="1" x14ac:dyDescent="0.3">
      <c r="A144" s="93" t="s">
        <v>172</v>
      </c>
      <c r="B144" s="90" t="s">
        <v>9</v>
      </c>
      <c r="C144" s="426"/>
      <c r="D144" s="426"/>
      <c r="E144" s="426"/>
      <c r="F144" s="426"/>
      <c r="G144" s="426"/>
      <c r="H144" s="426"/>
      <c r="I144" s="426"/>
      <c r="J144" s="228"/>
      <c r="K144" s="228"/>
      <c r="L144" s="228"/>
      <c r="M144" s="228"/>
      <c r="N144" s="228"/>
      <c r="O144" s="228"/>
      <c r="P144" s="228"/>
      <c r="Q144" s="228"/>
      <c r="R144" s="228"/>
      <c r="S144" s="228"/>
      <c r="T144" s="228"/>
    </row>
    <row r="145" spans="1:20" s="79" customFormat="1" x14ac:dyDescent="0.3">
      <c r="A145" s="94" t="s">
        <v>276</v>
      </c>
      <c r="B145" s="90" t="s">
        <v>9</v>
      </c>
      <c r="C145" s="426">
        <v>35706.839999999997</v>
      </c>
      <c r="D145" s="427">
        <v>42893.392446978782</v>
      </c>
      <c r="E145" s="427">
        <v>48994.179992854595</v>
      </c>
      <c r="F145" s="427">
        <v>48994.179992854595</v>
      </c>
      <c r="G145" s="427">
        <v>48994.179992854595</v>
      </c>
      <c r="H145" s="427">
        <v>48994.179992854595</v>
      </c>
      <c r="I145" s="427">
        <v>48994.179992854595</v>
      </c>
      <c r="J145" s="228"/>
      <c r="K145" s="228"/>
      <c r="L145" s="228"/>
      <c r="M145" s="228"/>
      <c r="N145" s="228"/>
      <c r="O145" s="228"/>
      <c r="P145" s="228"/>
      <c r="Q145" s="228"/>
      <c r="R145" s="228"/>
      <c r="S145" s="228"/>
      <c r="T145" s="228"/>
    </row>
    <row r="146" spans="1:20" s="79" customFormat="1" ht="60" customHeight="1" x14ac:dyDescent="0.2">
      <c r="A146" s="395" t="s">
        <v>508</v>
      </c>
      <c r="B146" s="90" t="s">
        <v>9</v>
      </c>
      <c r="C146" s="430">
        <v>15466.4874</v>
      </c>
      <c r="D146" s="430">
        <f>C146*99%</f>
        <v>15311.822526</v>
      </c>
      <c r="E146" s="430">
        <f>D146*J122</f>
        <v>16138.660942404</v>
      </c>
      <c r="F146" s="430">
        <v>16590.54</v>
      </c>
      <c r="G146" s="430">
        <f>E146*L122</f>
        <v>16590.543448791312</v>
      </c>
      <c r="H146" s="430">
        <f>G146*M122</f>
        <v>17055.078665357469</v>
      </c>
      <c r="I146" s="430">
        <f>H146*N122</f>
        <v>17481.455631991405</v>
      </c>
      <c r="J146" s="228"/>
      <c r="K146" s="228"/>
      <c r="L146" s="228"/>
      <c r="M146" s="228"/>
      <c r="N146" s="228"/>
      <c r="O146" s="228"/>
      <c r="P146" s="228"/>
      <c r="Q146" s="228"/>
      <c r="R146" s="228"/>
      <c r="S146" s="228"/>
      <c r="T146" s="228"/>
    </row>
    <row r="147" spans="1:20" s="79" customFormat="1" ht="42.75" customHeight="1" x14ac:dyDescent="0.25">
      <c r="A147" s="431" t="s">
        <v>69</v>
      </c>
      <c r="B147" s="90" t="s">
        <v>6</v>
      </c>
      <c r="C147" s="371">
        <v>5176.8764568764573</v>
      </c>
      <c r="D147" s="371">
        <v>5452.51</v>
      </c>
      <c r="E147" s="371">
        <f>E158/41.25%/13%</f>
        <v>5746.9463869463871</v>
      </c>
      <c r="F147" s="371">
        <f>F158/41.25%/13%</f>
        <v>5907.6923076923085</v>
      </c>
      <c r="G147" s="371">
        <f t="shared" ref="G147:I147" si="37">G158/41.25%/13%</f>
        <v>5907.6923076923085</v>
      </c>
      <c r="H147" s="371">
        <f>H158/41.25%/13%</f>
        <v>6073.1002331002337</v>
      </c>
      <c r="I147" s="371">
        <f t="shared" si="37"/>
        <v>6224.8951048951049</v>
      </c>
      <c r="J147" s="575"/>
      <c r="K147" s="228"/>
      <c r="L147" s="228"/>
      <c r="M147" s="228"/>
      <c r="N147" s="228"/>
      <c r="O147" s="228"/>
      <c r="P147" s="228"/>
      <c r="Q147" s="228"/>
      <c r="R147" s="228"/>
      <c r="S147" s="228"/>
      <c r="T147" s="228"/>
    </row>
    <row r="148" spans="1:20" s="79" customFormat="1" x14ac:dyDescent="0.2">
      <c r="A148" s="85" t="s">
        <v>23</v>
      </c>
      <c r="B148" s="90"/>
      <c r="C148" s="209"/>
      <c r="D148" s="209"/>
      <c r="E148" s="209"/>
      <c r="F148" s="432"/>
      <c r="G148" s="432"/>
      <c r="H148" s="432"/>
      <c r="I148" s="432"/>
      <c r="J148" s="228"/>
      <c r="K148" s="228"/>
      <c r="L148" s="228"/>
      <c r="M148" s="228"/>
      <c r="N148" s="228"/>
      <c r="O148" s="228"/>
      <c r="P148" s="228"/>
      <c r="Q148" s="228"/>
      <c r="R148" s="228"/>
      <c r="S148" s="228"/>
      <c r="T148" s="228"/>
    </row>
    <row r="149" spans="1:20" s="79" customFormat="1" ht="37.5" x14ac:dyDescent="0.2">
      <c r="A149" s="85" t="s">
        <v>70</v>
      </c>
      <c r="B149" s="90" t="s">
        <v>6</v>
      </c>
      <c r="C149" s="385">
        <v>279.32476244399999</v>
      </c>
      <c r="D149" s="385">
        <f>D146*12*D105/1000</f>
        <v>259.93962393038635</v>
      </c>
      <c r="E149" s="385">
        <f>E146*12*E105/1000</f>
        <v>273.97636362262722</v>
      </c>
      <c r="F149" s="385">
        <f>F146*12*F105/1000</f>
        <v>281.64764325600004</v>
      </c>
      <c r="G149" s="385">
        <f t="shared" ref="G149:I149" si="38">G146*12*G105/1000</f>
        <v>281.64770180406077</v>
      </c>
      <c r="H149" s="385">
        <f t="shared" si="38"/>
        <v>289.5338374545745</v>
      </c>
      <c r="I149" s="385">
        <f t="shared" si="38"/>
        <v>296.77218339093884</v>
      </c>
      <c r="J149" s="228"/>
      <c r="K149" s="228"/>
      <c r="L149" s="228"/>
      <c r="M149" s="228"/>
      <c r="N149" s="228"/>
      <c r="O149" s="228"/>
      <c r="P149" s="228"/>
      <c r="Q149" s="228"/>
      <c r="R149" s="228"/>
      <c r="S149" s="228"/>
      <c r="T149" s="228"/>
    </row>
    <row r="150" spans="1:20" s="79" customFormat="1" ht="37.5" x14ac:dyDescent="0.2">
      <c r="A150" s="85" t="s">
        <v>75</v>
      </c>
      <c r="B150" s="90" t="s">
        <v>6</v>
      </c>
      <c r="C150" s="385">
        <v>4.9688184</v>
      </c>
      <c r="D150" s="385">
        <f t="shared" ref="D150:I150" si="39">D107*D123*12/1000</f>
        <v>5.8737840000000006</v>
      </c>
      <c r="E150" s="385">
        <f>E107*E123*12/1000</f>
        <v>6.1909683360000001</v>
      </c>
      <c r="F150" s="385">
        <f>F107*F123*12/1000</f>
        <v>6.3643154494079992</v>
      </c>
      <c r="G150" s="385">
        <f t="shared" si="39"/>
        <v>6.3643154494079992</v>
      </c>
      <c r="H150" s="385">
        <f t="shared" si="39"/>
        <v>6.542516281991424</v>
      </c>
      <c r="I150" s="385">
        <f t="shared" si="39"/>
        <v>6.7060791890412093</v>
      </c>
      <c r="J150" s="228"/>
      <c r="K150" s="228"/>
      <c r="L150" s="228"/>
      <c r="M150" s="228"/>
      <c r="N150" s="228"/>
      <c r="O150" s="228"/>
      <c r="P150" s="228"/>
      <c r="Q150" s="228"/>
      <c r="R150" s="228"/>
      <c r="S150" s="228"/>
      <c r="T150" s="228"/>
    </row>
    <row r="151" spans="1:20" s="79" customFormat="1" ht="37.5" x14ac:dyDescent="0.2">
      <c r="A151" s="85" t="s">
        <v>92</v>
      </c>
      <c r="B151" s="90" t="s">
        <v>6</v>
      </c>
      <c r="C151" s="433">
        <v>945.65</v>
      </c>
      <c r="D151" s="433">
        <v>1053.29</v>
      </c>
      <c r="E151" s="433">
        <v>1158.79</v>
      </c>
      <c r="F151" s="433">
        <v>1163.98</v>
      </c>
      <c r="G151" s="433">
        <v>1201.22</v>
      </c>
      <c r="H151" s="433">
        <v>1236.95</v>
      </c>
      <c r="I151" s="433">
        <v>1273.2</v>
      </c>
      <c r="J151" s="228"/>
      <c r="K151" s="228"/>
      <c r="L151" s="228"/>
      <c r="M151" s="228"/>
      <c r="N151" s="228"/>
      <c r="O151" s="228"/>
      <c r="P151" s="228"/>
      <c r="Q151" s="228"/>
      <c r="R151" s="228"/>
      <c r="S151" s="228"/>
      <c r="T151" s="228"/>
    </row>
    <row r="152" spans="1:20" s="79" customFormat="1" ht="19.5" x14ac:dyDescent="0.2">
      <c r="A152" s="431" t="s">
        <v>24</v>
      </c>
      <c r="B152" s="90" t="s">
        <v>6</v>
      </c>
      <c r="C152" s="370">
        <v>74.816532000000009</v>
      </c>
      <c r="D152" s="371">
        <v>89.55</v>
      </c>
      <c r="E152" s="371">
        <f>D152*J122</f>
        <v>94.3857</v>
      </c>
      <c r="F152" s="371">
        <f>G152</f>
        <v>97.028499600000004</v>
      </c>
      <c r="G152" s="371">
        <f>E152*L122</f>
        <v>97.028499600000004</v>
      </c>
      <c r="H152" s="371">
        <f>G152*M122</f>
        <v>99.7452975888</v>
      </c>
      <c r="I152" s="371">
        <f>H152*N122</f>
        <v>102.23893002851999</v>
      </c>
      <c r="J152" s="228"/>
      <c r="K152" s="228"/>
      <c r="L152" s="228"/>
      <c r="M152" s="228"/>
      <c r="N152" s="228"/>
      <c r="O152" s="228"/>
      <c r="P152" s="228"/>
      <c r="Q152" s="228"/>
      <c r="R152" s="228"/>
      <c r="S152" s="228"/>
      <c r="T152" s="228"/>
    </row>
    <row r="153" spans="1:20" s="79" customFormat="1" ht="19.5" x14ac:dyDescent="0.2">
      <c r="A153" s="431" t="s">
        <v>2</v>
      </c>
      <c r="B153" s="90" t="s">
        <v>6</v>
      </c>
      <c r="C153" s="209"/>
      <c r="D153" s="210"/>
      <c r="E153" s="210"/>
      <c r="F153" s="210"/>
      <c r="G153" s="392"/>
      <c r="H153" s="210"/>
      <c r="I153" s="392"/>
      <c r="J153" s="228"/>
      <c r="K153" s="228"/>
      <c r="L153" s="228"/>
      <c r="M153" s="228"/>
      <c r="N153" s="228"/>
      <c r="O153" s="228"/>
      <c r="P153" s="228"/>
      <c r="Q153" s="228"/>
      <c r="R153" s="228"/>
      <c r="S153" s="228"/>
      <c r="T153" s="228"/>
    </row>
    <row r="154" spans="1:20" s="79" customFormat="1" ht="39" x14ac:dyDescent="0.2">
      <c r="A154" s="434" t="s">
        <v>103</v>
      </c>
      <c r="B154" s="78" t="s">
        <v>6</v>
      </c>
      <c r="C154" s="398">
        <v>5251.6929888764571</v>
      </c>
      <c r="D154" s="398">
        <f t="shared" ref="D154:I154" si="40">D147+D152</f>
        <v>5542.06</v>
      </c>
      <c r="E154" s="398">
        <f t="shared" si="40"/>
        <v>5841.3320869463869</v>
      </c>
      <c r="F154" s="398">
        <f>F147+F152</f>
        <v>6004.7208072923086</v>
      </c>
      <c r="G154" s="398">
        <f t="shared" si="40"/>
        <v>6004.7208072923086</v>
      </c>
      <c r="H154" s="398">
        <f t="shared" si="40"/>
        <v>6172.8455306890337</v>
      </c>
      <c r="I154" s="398">
        <f t="shared" si="40"/>
        <v>6327.1340349236252</v>
      </c>
      <c r="J154" s="228"/>
      <c r="K154" s="228"/>
      <c r="L154" s="228"/>
      <c r="M154" s="228"/>
      <c r="N154" s="228"/>
      <c r="O154" s="228"/>
      <c r="P154" s="228"/>
      <c r="Q154" s="228"/>
      <c r="R154" s="228"/>
      <c r="S154" s="228"/>
      <c r="T154" s="228"/>
    </row>
    <row r="155" spans="1:20" x14ac:dyDescent="0.2">
      <c r="A155" s="443" t="s">
        <v>112</v>
      </c>
      <c r="B155" s="444"/>
      <c r="C155" s="444"/>
      <c r="D155" s="444"/>
      <c r="E155" s="444"/>
      <c r="F155" s="444"/>
      <c r="G155" s="444"/>
      <c r="H155" s="444"/>
      <c r="I155" s="444"/>
    </row>
    <row r="156" spans="1:20" s="79" customFormat="1" ht="39" x14ac:dyDescent="0.2">
      <c r="A156" s="84" t="s">
        <v>109</v>
      </c>
      <c r="B156" s="78" t="s">
        <v>6</v>
      </c>
      <c r="C156" s="435">
        <v>344.66</v>
      </c>
      <c r="D156" s="435">
        <v>380.61462699999998</v>
      </c>
      <c r="E156" s="435">
        <v>392.178652</v>
      </c>
      <c r="F156" s="435">
        <v>404.86540000000002</v>
      </c>
      <c r="G156" s="435">
        <v>404.86540000000002</v>
      </c>
      <c r="H156" s="435">
        <v>416.83105907968002</v>
      </c>
      <c r="I156" s="435">
        <v>427.6365876990464</v>
      </c>
      <c r="J156" s="228"/>
      <c r="K156" s="228"/>
      <c r="L156" s="228"/>
      <c r="M156" s="228"/>
      <c r="N156" s="228"/>
      <c r="O156" s="228"/>
      <c r="P156" s="228"/>
      <c r="Q156" s="228"/>
      <c r="R156" s="228"/>
      <c r="S156" s="228"/>
      <c r="T156" s="228"/>
    </row>
    <row r="157" spans="1:20" s="79" customFormat="1" x14ac:dyDescent="0.2">
      <c r="A157" s="85" t="s">
        <v>23</v>
      </c>
      <c r="B157" s="78" t="s">
        <v>6</v>
      </c>
      <c r="C157" s="436"/>
      <c r="D157" s="208"/>
      <c r="E157" s="208"/>
      <c r="F157" s="208"/>
      <c r="G157" s="208"/>
      <c r="H157" s="208"/>
      <c r="I157" s="208"/>
      <c r="J157" s="228"/>
      <c r="K157" s="228"/>
      <c r="L157" s="228"/>
      <c r="M157" s="228"/>
      <c r="N157" s="228"/>
      <c r="O157" s="228"/>
      <c r="P157" s="228"/>
      <c r="Q157" s="228"/>
      <c r="R157" s="228"/>
      <c r="S157" s="228"/>
      <c r="T157" s="228"/>
    </row>
    <row r="158" spans="1:20" s="79" customFormat="1" x14ac:dyDescent="0.25">
      <c r="A158" s="86" t="s">
        <v>107</v>
      </c>
      <c r="B158" s="78" t="s">
        <v>6</v>
      </c>
      <c r="C158" s="437">
        <v>277.61</v>
      </c>
      <c r="D158" s="437">
        <v>292.39061199999998</v>
      </c>
      <c r="E158" s="437">
        <v>308.18</v>
      </c>
      <c r="F158" s="437">
        <v>316.8</v>
      </c>
      <c r="G158" s="437">
        <v>316.8</v>
      </c>
      <c r="H158" s="437">
        <v>325.67</v>
      </c>
      <c r="I158" s="437">
        <v>333.81</v>
      </c>
      <c r="J158" s="576"/>
      <c r="K158" s="576"/>
      <c r="L158" s="228"/>
      <c r="M158" s="228"/>
      <c r="N158" s="228"/>
      <c r="O158" s="228"/>
      <c r="P158" s="228"/>
      <c r="Q158" s="228"/>
      <c r="R158" s="228"/>
      <c r="S158" s="228"/>
      <c r="T158" s="228"/>
    </row>
    <row r="159" spans="1:20" s="79" customFormat="1" x14ac:dyDescent="0.2">
      <c r="A159" s="86" t="s">
        <v>108</v>
      </c>
      <c r="B159" s="78" t="s">
        <v>6</v>
      </c>
      <c r="C159" s="438">
        <v>27.18</v>
      </c>
      <c r="D159" s="438">
        <v>40.136080999999997</v>
      </c>
      <c r="E159" s="438">
        <v>29.808652000000002</v>
      </c>
      <c r="F159" s="438">
        <v>31.707999999999998</v>
      </c>
      <c r="G159" s="438">
        <v>31.707999999999998</v>
      </c>
      <c r="H159" s="438">
        <v>32.549169079679999</v>
      </c>
      <c r="I159" s="438">
        <v>32.8701076990464</v>
      </c>
      <c r="J159" s="228"/>
      <c r="K159" s="228"/>
      <c r="L159" s="228"/>
      <c r="M159" s="228"/>
      <c r="N159" s="228"/>
      <c r="O159" s="228"/>
      <c r="P159" s="228"/>
      <c r="Q159" s="228"/>
      <c r="R159" s="228"/>
      <c r="S159" s="228"/>
      <c r="T159" s="228"/>
    </row>
    <row r="160" spans="1:20" s="79" customFormat="1" x14ac:dyDescent="0.2">
      <c r="A160" s="87" t="s">
        <v>104</v>
      </c>
      <c r="B160" s="78" t="s">
        <v>6</v>
      </c>
      <c r="C160" s="438">
        <v>21.92</v>
      </c>
      <c r="D160" s="438">
        <v>34.466240999999997</v>
      </c>
      <c r="E160" s="438">
        <v>22.258457000000003</v>
      </c>
      <c r="F160" s="438">
        <v>23.654436392999997</v>
      </c>
      <c r="G160" s="438">
        <v>23.654</v>
      </c>
      <c r="H160" s="438">
        <v>24.166791810320003</v>
      </c>
      <c r="I160" s="438">
        <v>24.465111641452804</v>
      </c>
      <c r="J160" s="228"/>
      <c r="K160" s="228"/>
      <c r="L160" s="228"/>
      <c r="M160" s="228"/>
      <c r="N160" s="228"/>
      <c r="O160" s="228"/>
      <c r="P160" s="228"/>
      <c r="Q160" s="228"/>
      <c r="R160" s="228"/>
      <c r="S160" s="228"/>
      <c r="T160" s="228"/>
    </row>
    <row r="161" spans="1:20" s="79" customFormat="1" ht="31.5" x14ac:dyDescent="0.2">
      <c r="A161" s="88" t="s">
        <v>117</v>
      </c>
      <c r="B161" s="78" t="s">
        <v>6</v>
      </c>
      <c r="C161" s="438">
        <v>3129.99</v>
      </c>
      <c r="D161" s="438">
        <v>3241.6990000000001</v>
      </c>
      <c r="E161" s="438">
        <v>3241.6990000000001</v>
      </c>
      <c r="F161" s="438">
        <v>3241.6990000000001</v>
      </c>
      <c r="G161" s="438">
        <v>3241.6990000000001</v>
      </c>
      <c r="H161" s="438">
        <v>3241.6990000000001</v>
      </c>
      <c r="I161" s="438">
        <v>3241.6990000000001</v>
      </c>
      <c r="J161" s="228"/>
      <c r="K161" s="228"/>
      <c r="L161" s="228"/>
      <c r="M161" s="228"/>
      <c r="N161" s="228"/>
      <c r="O161" s="228"/>
      <c r="P161" s="228"/>
      <c r="Q161" s="228"/>
      <c r="R161" s="228"/>
      <c r="S161" s="228"/>
      <c r="T161" s="228"/>
    </row>
    <row r="162" spans="1:20" s="79" customFormat="1" x14ac:dyDescent="0.2">
      <c r="A162" s="88" t="s">
        <v>115</v>
      </c>
      <c r="B162" s="78" t="s">
        <v>6</v>
      </c>
      <c r="C162" s="438"/>
      <c r="D162" s="438"/>
      <c r="E162" s="438"/>
      <c r="F162" s="438"/>
      <c r="G162" s="438"/>
      <c r="H162" s="438"/>
      <c r="I162" s="438"/>
      <c r="J162" s="228"/>
      <c r="K162" s="228"/>
      <c r="L162" s="228"/>
      <c r="M162" s="228"/>
      <c r="N162" s="228"/>
      <c r="O162" s="228"/>
      <c r="P162" s="228"/>
      <c r="Q162" s="228"/>
      <c r="R162" s="228"/>
      <c r="S162" s="228"/>
      <c r="T162" s="228"/>
    </row>
    <row r="163" spans="1:20" s="79" customFormat="1" x14ac:dyDescent="0.2">
      <c r="A163" s="87" t="s">
        <v>105</v>
      </c>
      <c r="B163" s="78" t="s">
        <v>6</v>
      </c>
      <c r="C163" s="438">
        <v>5.26</v>
      </c>
      <c r="D163" s="438">
        <v>5.6698399999999998</v>
      </c>
      <c r="E163" s="438">
        <v>7.5501950000000004</v>
      </c>
      <c r="F163" s="438">
        <v>8.0540000000000003</v>
      </c>
      <c r="G163" s="438">
        <v>8.0540000000000003</v>
      </c>
      <c r="H163" s="438">
        <v>8.3823772693599992</v>
      </c>
      <c r="I163" s="438">
        <v>8.4049960575935998</v>
      </c>
      <c r="J163" s="228"/>
      <c r="K163" s="228"/>
      <c r="L163" s="228"/>
      <c r="M163" s="228"/>
      <c r="N163" s="228"/>
      <c r="O163" s="228"/>
      <c r="P163" s="228"/>
      <c r="Q163" s="228"/>
      <c r="R163" s="228"/>
      <c r="S163" s="228"/>
      <c r="T163" s="228"/>
    </row>
    <row r="164" spans="1:20" s="79" customFormat="1" ht="36.6" customHeight="1" x14ac:dyDescent="0.2">
      <c r="A164" s="88" t="s">
        <v>118</v>
      </c>
      <c r="B164" s="78" t="s">
        <v>6</v>
      </c>
      <c r="C164" s="438">
        <v>4314.99</v>
      </c>
      <c r="D164" s="438">
        <v>7120.1779999999999</v>
      </c>
      <c r="E164" s="438">
        <v>7120.1779999999999</v>
      </c>
      <c r="F164" s="438">
        <v>7120.1779999999999</v>
      </c>
      <c r="G164" s="438">
        <v>7120.1779999999999</v>
      </c>
      <c r="H164" s="438">
        <v>7120.1779999999999</v>
      </c>
      <c r="I164" s="438">
        <v>7120.1779999999999</v>
      </c>
      <c r="J164" s="228"/>
      <c r="K164" s="228"/>
      <c r="L164" s="228"/>
      <c r="M164" s="228"/>
      <c r="N164" s="228"/>
      <c r="O164" s="228"/>
      <c r="P164" s="228"/>
      <c r="Q164" s="228"/>
      <c r="R164" s="228"/>
      <c r="S164" s="228"/>
      <c r="T164" s="228"/>
    </row>
    <row r="165" spans="1:20" s="79" customFormat="1" x14ac:dyDescent="0.2">
      <c r="A165" s="86" t="s">
        <v>113</v>
      </c>
      <c r="B165" s="78"/>
      <c r="C165" s="438">
        <v>39.869999999999997</v>
      </c>
      <c r="D165" s="438">
        <v>48.087934000000004</v>
      </c>
      <c r="E165" s="438">
        <v>54.190000000000005</v>
      </c>
      <c r="F165" s="438">
        <v>56.357399999999998</v>
      </c>
      <c r="G165" s="438">
        <v>56.357399999999998</v>
      </c>
      <c r="H165" s="438">
        <v>58.611890000000002</v>
      </c>
      <c r="I165" s="438">
        <v>60.956480000000006</v>
      </c>
      <c r="J165" s="228"/>
      <c r="K165" s="228"/>
      <c r="L165" s="228"/>
      <c r="M165" s="228"/>
      <c r="N165" s="228"/>
      <c r="O165" s="228"/>
      <c r="P165" s="228"/>
      <c r="Q165" s="228"/>
      <c r="R165" s="228"/>
      <c r="S165" s="228"/>
      <c r="T165" s="228"/>
    </row>
    <row r="166" spans="1:20" s="79" customFormat="1" ht="31.5" x14ac:dyDescent="0.2">
      <c r="A166" s="77" t="s">
        <v>277</v>
      </c>
      <c r="B166" s="78" t="s">
        <v>6</v>
      </c>
      <c r="C166" s="439">
        <v>28.72</v>
      </c>
      <c r="D166" s="439">
        <v>38.927041000000003</v>
      </c>
      <c r="E166" s="439">
        <v>46.526000000000003</v>
      </c>
      <c r="F166" s="439">
        <v>48.387</v>
      </c>
      <c r="G166" s="439">
        <v>48.387</v>
      </c>
      <c r="H166" s="439">
        <v>50.322000000000003</v>
      </c>
      <c r="I166" s="439">
        <v>52.335000000000001</v>
      </c>
      <c r="J166" s="228"/>
      <c r="K166" s="228"/>
      <c r="L166" s="228"/>
      <c r="M166" s="228"/>
      <c r="N166" s="228"/>
      <c r="O166" s="228"/>
      <c r="P166" s="228"/>
      <c r="Q166" s="228"/>
      <c r="R166" s="228"/>
      <c r="S166" s="228"/>
      <c r="T166" s="228"/>
    </row>
    <row r="167" spans="1:20" s="79" customFormat="1" x14ac:dyDescent="0.2">
      <c r="A167" s="80" t="s">
        <v>278</v>
      </c>
      <c r="B167" s="81" t="s">
        <v>6</v>
      </c>
      <c r="C167" s="439">
        <v>0.19800000000000001</v>
      </c>
      <c r="D167" s="439">
        <v>6.5000000000000002E-2</v>
      </c>
      <c r="E167" s="439">
        <v>0.06</v>
      </c>
      <c r="F167" s="439">
        <v>6.2399999999999997E-2</v>
      </c>
      <c r="G167" s="439">
        <v>6.2399999999999997E-2</v>
      </c>
      <c r="H167" s="439">
        <v>6.4890000000000003E-2</v>
      </c>
      <c r="I167" s="439">
        <v>6.7479999999999998E-2</v>
      </c>
      <c r="J167" s="228"/>
      <c r="K167" s="228"/>
      <c r="L167" s="228"/>
      <c r="M167" s="228"/>
      <c r="N167" s="228"/>
      <c r="O167" s="228"/>
      <c r="P167" s="228"/>
      <c r="Q167" s="228"/>
      <c r="R167" s="228"/>
      <c r="S167" s="228"/>
      <c r="T167" s="228"/>
    </row>
    <row r="168" spans="1:20" s="82" customFormat="1" ht="34.5" customHeight="1" x14ac:dyDescent="0.2">
      <c r="A168" s="83" t="s">
        <v>106</v>
      </c>
      <c r="B168" s="81" t="s">
        <v>6</v>
      </c>
      <c r="C168" s="440">
        <v>11.16</v>
      </c>
      <c r="D168" s="440">
        <v>9.0958930000000002</v>
      </c>
      <c r="E168" s="440">
        <v>7.6040000000000001</v>
      </c>
      <c r="F168" s="440">
        <v>7.9080000000000004</v>
      </c>
      <c r="G168" s="440">
        <v>7.9080000000000004</v>
      </c>
      <c r="H168" s="440">
        <v>8.2249999999999996</v>
      </c>
      <c r="I168" s="440">
        <v>8.5540000000000003</v>
      </c>
      <c r="J168" s="577"/>
      <c r="K168" s="577"/>
      <c r="L168" s="577"/>
      <c r="M168" s="577"/>
      <c r="N168" s="577"/>
      <c r="O168" s="577"/>
      <c r="P168" s="577"/>
      <c r="Q168" s="577"/>
      <c r="R168" s="577"/>
      <c r="S168" s="577"/>
      <c r="T168" s="577"/>
    </row>
  </sheetData>
  <mergeCells count="17">
    <mergeCell ref="H1:I1"/>
    <mergeCell ref="C4:C6"/>
    <mergeCell ref="D4:D6"/>
    <mergeCell ref="A2:I2"/>
    <mergeCell ref="H5:H6"/>
    <mergeCell ref="I5:I6"/>
    <mergeCell ref="A4:A6"/>
    <mergeCell ref="B4:B6"/>
    <mergeCell ref="A1:G1"/>
    <mergeCell ref="F4:I4"/>
    <mergeCell ref="F5:G5"/>
    <mergeCell ref="J4:N4"/>
    <mergeCell ref="A7:I7"/>
    <mergeCell ref="A155:I155"/>
    <mergeCell ref="A78:I78"/>
    <mergeCell ref="A25:I25"/>
    <mergeCell ref="E4:E6"/>
  </mergeCells>
  <phoneticPr fontId="14" type="noConversion"/>
  <printOptions horizontalCentered="1"/>
  <pageMargins left="0.39370078740157483" right="0.39370078740157483" top="0.19685039370078741" bottom="0.19685039370078741" header="0" footer="0"/>
  <pageSetup paperSize="9" scale="45" fitToHeight="0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50"/>
  </sheetPr>
  <dimension ref="A1:AS95"/>
  <sheetViews>
    <sheetView view="pageBreakPreview" zoomScale="75" zoomScaleNormal="75" workbookViewId="0">
      <pane ySplit="7" topLeftCell="A8" activePane="bottomLeft" state="frozen"/>
      <selection activeCell="P1" sqref="P1"/>
      <selection pane="bottomLeft" activeCell="T84" sqref="T84"/>
    </sheetView>
  </sheetViews>
  <sheetFormatPr defaultRowHeight="12.75" x14ac:dyDescent="0.2"/>
  <cols>
    <col min="1" max="1" width="34.5703125" style="20" customWidth="1"/>
    <col min="2" max="2" width="14.7109375" customWidth="1"/>
    <col min="3" max="3" width="10.85546875" customWidth="1"/>
    <col min="4" max="4" width="11.5703125" customWidth="1"/>
    <col min="5" max="5" width="11.140625" customWidth="1"/>
    <col min="6" max="6" width="10.5703125" customWidth="1"/>
    <col min="7" max="7" width="11.140625" customWidth="1"/>
    <col min="8" max="9" width="10" customWidth="1"/>
    <col min="10" max="10" width="10.42578125" customWidth="1"/>
    <col min="11" max="11" width="10.7109375" customWidth="1"/>
    <col min="12" max="12" width="11" customWidth="1"/>
    <col min="13" max="13" width="10.7109375" customWidth="1"/>
    <col min="14" max="14" width="10.140625" customWidth="1"/>
    <col min="15" max="15" width="12.140625" customWidth="1"/>
    <col min="16" max="16" width="9.140625" customWidth="1"/>
    <col min="17" max="17" width="10.28515625" customWidth="1"/>
    <col min="18" max="18" width="9" customWidth="1"/>
    <col min="19" max="19" width="9.28515625" customWidth="1"/>
    <col min="20" max="20" width="10" customWidth="1"/>
    <col min="21" max="21" width="10.42578125" customWidth="1"/>
    <col min="22" max="22" width="9.140625" customWidth="1"/>
    <col min="23" max="23" width="10.42578125" customWidth="1"/>
    <col min="24" max="24" width="12.140625" customWidth="1"/>
    <col min="25" max="25" width="10.140625" customWidth="1"/>
    <col min="26" max="26" width="11.42578125" customWidth="1"/>
    <col min="27" max="27" width="13.42578125" customWidth="1"/>
    <col min="28" max="28" width="12.5703125" customWidth="1"/>
    <col min="29" max="29" width="10.42578125" customWidth="1"/>
    <col min="30" max="30" width="10.5703125" customWidth="1"/>
    <col min="31" max="31" width="12" customWidth="1"/>
    <col min="32" max="32" width="12.140625" customWidth="1"/>
    <col min="33" max="33" width="12.85546875" customWidth="1"/>
    <col min="34" max="34" width="12.140625" bestFit="1" customWidth="1"/>
    <col min="35" max="35" width="11.28515625" bestFit="1" customWidth="1"/>
    <col min="36" max="36" width="12.140625" bestFit="1" customWidth="1"/>
    <col min="37" max="37" width="13.140625" customWidth="1"/>
    <col min="38" max="38" width="11.28515625" bestFit="1" customWidth="1"/>
    <col min="39" max="45" width="9.140625" style="79"/>
  </cols>
  <sheetData>
    <row r="1" spans="1:42" ht="42" customHeight="1" x14ac:dyDescent="0.25">
      <c r="L1" s="463" t="s">
        <v>512</v>
      </c>
      <c r="M1" s="463"/>
      <c r="N1" s="463"/>
      <c r="O1" s="463"/>
      <c r="P1" s="463"/>
      <c r="Q1" s="463"/>
      <c r="R1" s="463"/>
      <c r="S1" s="463"/>
      <c r="T1" s="463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</row>
    <row r="2" spans="1:42" ht="15.75" customHeight="1" x14ac:dyDescent="0.25">
      <c r="A2" s="191"/>
      <c r="B2" s="62"/>
      <c r="C2" s="452"/>
      <c r="D2" s="452"/>
      <c r="E2" s="452"/>
      <c r="F2" s="452"/>
      <c r="G2" s="452"/>
      <c r="H2" s="452"/>
      <c r="I2" s="452"/>
      <c r="J2" s="452"/>
      <c r="K2" s="452"/>
      <c r="L2" s="452"/>
      <c r="M2" s="452"/>
      <c r="N2" s="452"/>
      <c r="O2" s="452"/>
      <c r="P2" s="452"/>
      <c r="Q2" s="453"/>
      <c r="R2" s="454"/>
      <c r="S2" s="454"/>
      <c r="T2" s="454"/>
      <c r="U2" s="192"/>
      <c r="V2" s="192"/>
      <c r="W2" s="192"/>
      <c r="X2" s="192"/>
      <c r="Y2" s="192"/>
      <c r="Z2" s="192"/>
      <c r="AA2" s="192"/>
      <c r="AB2" s="192"/>
      <c r="AC2" s="192"/>
      <c r="AD2" s="192"/>
      <c r="AE2" s="192"/>
      <c r="AF2" s="192"/>
      <c r="AG2" s="203"/>
      <c r="AH2" s="203"/>
      <c r="AI2" s="203"/>
      <c r="AJ2" s="116"/>
      <c r="AK2" s="116"/>
      <c r="AL2" s="116"/>
    </row>
    <row r="3" spans="1:42" s="79" customFormat="1" x14ac:dyDescent="0.2">
      <c r="A3" s="229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  <c r="S3" s="230"/>
      <c r="T3" s="230"/>
      <c r="U3" s="230"/>
      <c r="V3" s="230"/>
      <c r="W3" s="230"/>
      <c r="X3" s="230"/>
      <c r="Y3" s="230"/>
      <c r="Z3" s="230"/>
      <c r="AA3" s="230"/>
      <c r="AB3" s="230"/>
      <c r="AC3" s="230"/>
      <c r="AD3" s="230"/>
      <c r="AE3" s="230"/>
      <c r="AF3" s="230"/>
      <c r="AG3" s="230"/>
      <c r="AH3" s="230"/>
      <c r="AI3" s="230"/>
      <c r="AJ3" s="230"/>
      <c r="AK3" s="230"/>
      <c r="AL3" s="230"/>
    </row>
    <row r="4" spans="1:42" ht="15.75" x14ac:dyDescent="0.2">
      <c r="A4" s="455"/>
      <c r="B4" s="457" t="s">
        <v>420</v>
      </c>
      <c r="C4" s="458"/>
      <c r="D4" s="458"/>
      <c r="E4" s="458"/>
      <c r="F4" s="458"/>
      <c r="G4" s="458"/>
      <c r="H4" s="458"/>
      <c r="I4" s="458" t="s">
        <v>421</v>
      </c>
      <c r="J4" s="458"/>
      <c r="K4" s="458"/>
      <c r="L4" s="458"/>
      <c r="M4" s="458"/>
      <c r="N4" s="458"/>
      <c r="O4" s="458"/>
      <c r="P4" s="458"/>
      <c r="Q4" s="458"/>
      <c r="R4" s="458"/>
      <c r="S4" s="458"/>
      <c r="T4" s="458"/>
      <c r="U4" s="458" t="s">
        <v>422</v>
      </c>
      <c r="V4" s="458"/>
      <c r="W4" s="458"/>
      <c r="X4" s="458"/>
      <c r="Y4" s="458"/>
      <c r="Z4" s="458"/>
      <c r="AA4" s="458"/>
      <c r="AB4" s="458"/>
      <c r="AC4" s="458"/>
      <c r="AD4" s="458"/>
      <c r="AE4" s="458"/>
      <c r="AF4" s="458"/>
      <c r="AG4" s="458"/>
      <c r="AH4" s="458"/>
      <c r="AI4" s="458"/>
      <c r="AJ4" s="458"/>
      <c r="AK4" s="458"/>
      <c r="AL4" s="458"/>
      <c r="AM4" s="160"/>
    </row>
    <row r="5" spans="1:42" ht="58.5" customHeight="1" x14ac:dyDescent="0.2">
      <c r="A5" s="456"/>
      <c r="B5" s="457"/>
      <c r="C5" s="460" t="s">
        <v>423</v>
      </c>
      <c r="D5" s="461"/>
      <c r="E5" s="461"/>
      <c r="F5" s="461"/>
      <c r="G5" s="461"/>
      <c r="H5" s="462"/>
      <c r="I5" s="459" t="s">
        <v>424</v>
      </c>
      <c r="J5" s="459"/>
      <c r="K5" s="459"/>
      <c r="L5" s="459"/>
      <c r="M5" s="459"/>
      <c r="N5" s="459"/>
      <c r="O5" s="459" t="s">
        <v>425</v>
      </c>
      <c r="P5" s="459"/>
      <c r="Q5" s="459"/>
      <c r="R5" s="459"/>
      <c r="S5" s="459"/>
      <c r="T5" s="459"/>
      <c r="U5" s="459" t="s">
        <v>426</v>
      </c>
      <c r="V5" s="459"/>
      <c r="W5" s="459"/>
      <c r="X5" s="459"/>
      <c r="Y5" s="459"/>
      <c r="Z5" s="459"/>
      <c r="AA5" s="459" t="s">
        <v>427</v>
      </c>
      <c r="AB5" s="459"/>
      <c r="AC5" s="459"/>
      <c r="AD5" s="459"/>
      <c r="AE5" s="459"/>
      <c r="AF5" s="459"/>
      <c r="AG5" s="459" t="s">
        <v>428</v>
      </c>
      <c r="AH5" s="459"/>
      <c r="AI5" s="459"/>
      <c r="AJ5" s="459"/>
      <c r="AK5" s="459"/>
      <c r="AL5" s="459"/>
      <c r="AM5" s="160"/>
    </row>
    <row r="6" spans="1:42" ht="15.75" customHeight="1" x14ac:dyDescent="0.2">
      <c r="A6" s="456"/>
      <c r="B6" s="457"/>
      <c r="C6" s="459" t="s">
        <v>399</v>
      </c>
      <c r="D6" s="459" t="s">
        <v>513</v>
      </c>
      <c r="E6" s="459" t="s">
        <v>514</v>
      </c>
      <c r="F6" s="459" t="s">
        <v>515</v>
      </c>
      <c r="G6" s="459"/>
      <c r="H6" s="459"/>
      <c r="I6" s="459" t="s">
        <v>399</v>
      </c>
      <c r="J6" s="459" t="s">
        <v>513</v>
      </c>
      <c r="K6" s="459" t="s">
        <v>514</v>
      </c>
      <c r="L6" s="459" t="s">
        <v>515</v>
      </c>
      <c r="M6" s="459"/>
      <c r="N6" s="459"/>
      <c r="O6" s="459" t="s">
        <v>399</v>
      </c>
      <c r="P6" s="459" t="s">
        <v>513</v>
      </c>
      <c r="Q6" s="459" t="s">
        <v>514</v>
      </c>
      <c r="R6" s="459" t="s">
        <v>515</v>
      </c>
      <c r="S6" s="459"/>
      <c r="T6" s="459"/>
      <c r="U6" s="459" t="s">
        <v>399</v>
      </c>
      <c r="V6" s="459" t="s">
        <v>513</v>
      </c>
      <c r="W6" s="459" t="s">
        <v>514</v>
      </c>
      <c r="X6" s="459" t="s">
        <v>515</v>
      </c>
      <c r="Y6" s="459"/>
      <c r="Z6" s="459"/>
      <c r="AA6" s="459" t="s">
        <v>399</v>
      </c>
      <c r="AB6" s="459" t="s">
        <v>513</v>
      </c>
      <c r="AC6" s="459" t="s">
        <v>514</v>
      </c>
      <c r="AD6" s="459" t="s">
        <v>515</v>
      </c>
      <c r="AE6" s="459"/>
      <c r="AF6" s="459"/>
      <c r="AG6" s="459" t="s">
        <v>399</v>
      </c>
      <c r="AH6" s="459" t="s">
        <v>513</v>
      </c>
      <c r="AI6" s="459" t="s">
        <v>514</v>
      </c>
      <c r="AJ6" s="459" t="s">
        <v>515</v>
      </c>
      <c r="AK6" s="459"/>
      <c r="AL6" s="459"/>
      <c r="AM6" s="160"/>
    </row>
    <row r="7" spans="1:42" ht="15.75" x14ac:dyDescent="0.2">
      <c r="A7" s="456"/>
      <c r="B7" s="457"/>
      <c r="C7" s="459"/>
      <c r="D7" s="459"/>
      <c r="E7" s="459"/>
      <c r="F7" s="212" t="s">
        <v>275</v>
      </c>
      <c r="G7" s="212" t="s">
        <v>400</v>
      </c>
      <c r="H7" s="212" t="s">
        <v>490</v>
      </c>
      <c r="I7" s="459"/>
      <c r="J7" s="459"/>
      <c r="K7" s="459"/>
      <c r="L7" s="212" t="s">
        <v>275</v>
      </c>
      <c r="M7" s="212" t="s">
        <v>400</v>
      </c>
      <c r="N7" s="212" t="s">
        <v>490</v>
      </c>
      <c r="O7" s="459"/>
      <c r="P7" s="459"/>
      <c r="Q7" s="459"/>
      <c r="R7" s="212" t="s">
        <v>275</v>
      </c>
      <c r="S7" s="212" t="s">
        <v>400</v>
      </c>
      <c r="T7" s="212" t="s">
        <v>490</v>
      </c>
      <c r="U7" s="459"/>
      <c r="V7" s="459"/>
      <c r="W7" s="459"/>
      <c r="X7" s="212" t="s">
        <v>275</v>
      </c>
      <c r="Y7" s="212" t="s">
        <v>400</v>
      </c>
      <c r="Z7" s="212" t="s">
        <v>490</v>
      </c>
      <c r="AA7" s="459"/>
      <c r="AB7" s="459"/>
      <c r="AC7" s="459"/>
      <c r="AD7" s="212" t="s">
        <v>275</v>
      </c>
      <c r="AE7" s="212" t="s">
        <v>400</v>
      </c>
      <c r="AF7" s="212" t="s">
        <v>490</v>
      </c>
      <c r="AG7" s="459"/>
      <c r="AH7" s="459"/>
      <c r="AI7" s="459"/>
      <c r="AJ7" s="212" t="s">
        <v>275</v>
      </c>
      <c r="AK7" s="212" t="s">
        <v>400</v>
      </c>
      <c r="AL7" s="212" t="s">
        <v>490</v>
      </c>
      <c r="AM7" s="160"/>
    </row>
    <row r="8" spans="1:42" s="223" customFormat="1" ht="98.25" customHeight="1" x14ac:dyDescent="0.2">
      <c r="A8" s="313" t="s">
        <v>429</v>
      </c>
      <c r="B8" s="314"/>
      <c r="C8" s="315">
        <v>7.94</v>
      </c>
      <c r="D8" s="315">
        <v>35.590000000000003</v>
      </c>
      <c r="E8" s="315">
        <v>36.088260000000005</v>
      </c>
      <c r="F8" s="315">
        <v>37.748319960000011</v>
      </c>
      <c r="G8" s="315">
        <v>39.333749398320009</v>
      </c>
      <c r="H8" s="315">
        <v>40.946433123651126</v>
      </c>
      <c r="I8" s="315">
        <f>C8</f>
        <v>7.94</v>
      </c>
      <c r="J8" s="315">
        <f t="shared" ref="J8:N8" si="0">D8</f>
        <v>35.590000000000003</v>
      </c>
      <c r="K8" s="315">
        <f t="shared" si="0"/>
        <v>36.088260000000005</v>
      </c>
      <c r="L8" s="315">
        <f t="shared" si="0"/>
        <v>37.748319960000011</v>
      </c>
      <c r="M8" s="315">
        <f t="shared" si="0"/>
        <v>39.333749398320009</v>
      </c>
      <c r="N8" s="315">
        <f t="shared" si="0"/>
        <v>40.946433123651126</v>
      </c>
      <c r="O8" s="316"/>
      <c r="P8" s="316"/>
      <c r="Q8" s="316"/>
      <c r="R8" s="316"/>
      <c r="S8" s="316"/>
      <c r="T8" s="316"/>
      <c r="U8" s="316">
        <v>18</v>
      </c>
      <c r="V8" s="316">
        <v>21</v>
      </c>
      <c r="W8" s="316">
        <v>21</v>
      </c>
      <c r="X8" s="316">
        <v>21</v>
      </c>
      <c r="Y8" s="316">
        <v>21</v>
      </c>
      <c r="Z8" s="316">
        <v>21</v>
      </c>
      <c r="AA8" s="317">
        <f>'[2]Прогноз 2022-2024 '!C125</f>
        <v>28820.400000000001</v>
      </c>
      <c r="AB8" s="317">
        <f>'[2]Прогноз 2022-2024 '!D125</f>
        <v>29576.3</v>
      </c>
      <c r="AC8" s="317">
        <f>'[2]Прогноз 2022-2024 '!E125</f>
        <v>28481.976899999998</v>
      </c>
      <c r="AD8" s="317">
        <f>'[2]Прогноз 2022-2024 '!F125</f>
        <v>27485.107708499996</v>
      </c>
      <c r="AE8" s="317">
        <f>'[2]Прогноз 2022-2024 '!H125</f>
        <v>28795.962213345596</v>
      </c>
      <c r="AF8" s="318">
        <f>'[2]Прогноз 2022-2024 '!I125</f>
        <v>29112.717797692396</v>
      </c>
      <c r="AG8" s="319">
        <f>U8*AA8*12/1000000</f>
        <v>6.2252064000000003</v>
      </c>
      <c r="AH8" s="319">
        <f t="shared" ref="AH8:AL8" si="1">V8*AB8*12/1000000</f>
        <v>7.4532276</v>
      </c>
      <c r="AI8" s="319">
        <f t="shared" si="1"/>
        <v>7.1774581788000003</v>
      </c>
      <c r="AJ8" s="319">
        <f t="shared" si="1"/>
        <v>6.9262471425419987</v>
      </c>
      <c r="AK8" s="319">
        <f t="shared" si="1"/>
        <v>7.2565824777630903</v>
      </c>
      <c r="AL8" s="319">
        <f t="shared" si="1"/>
        <v>7.3364048850184824</v>
      </c>
      <c r="AM8" s="222"/>
    </row>
    <row r="9" spans="1:42" s="79" customFormat="1" ht="31.5" customHeight="1" x14ac:dyDescent="0.2">
      <c r="A9" s="320" t="s">
        <v>430</v>
      </c>
      <c r="B9" s="321"/>
      <c r="C9" s="322"/>
      <c r="D9" s="322"/>
      <c r="E9" s="322"/>
      <c r="F9" s="322"/>
      <c r="G9" s="322"/>
      <c r="H9" s="322"/>
      <c r="I9" s="322"/>
      <c r="J9" s="322"/>
      <c r="K9" s="322"/>
      <c r="L9" s="322"/>
      <c r="M9" s="322"/>
      <c r="N9" s="322"/>
      <c r="O9" s="322"/>
      <c r="P9" s="322"/>
      <c r="Q9" s="322"/>
      <c r="R9" s="322"/>
      <c r="S9" s="322"/>
      <c r="T9" s="322"/>
      <c r="U9" s="322"/>
      <c r="V9" s="322"/>
      <c r="W9" s="322"/>
      <c r="X9" s="322"/>
      <c r="Y9" s="322"/>
      <c r="Z9" s="322"/>
      <c r="AA9" s="323"/>
      <c r="AB9" s="323"/>
      <c r="AC9" s="323"/>
      <c r="AD9" s="323"/>
      <c r="AE9" s="323"/>
      <c r="AF9" s="322"/>
      <c r="AG9" s="324"/>
      <c r="AH9" s="324"/>
      <c r="AI9" s="324"/>
      <c r="AJ9" s="324"/>
      <c r="AK9" s="324"/>
      <c r="AL9" s="325"/>
      <c r="AM9" s="160"/>
    </row>
    <row r="10" spans="1:42" s="79" customFormat="1" ht="15.75" customHeight="1" x14ac:dyDescent="0.2">
      <c r="A10" s="118" t="s">
        <v>431</v>
      </c>
      <c r="B10" s="157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66"/>
      <c r="AB10" s="166"/>
      <c r="AC10" s="166"/>
      <c r="AD10" s="166"/>
      <c r="AE10" s="166"/>
      <c r="AF10" s="158"/>
      <c r="AG10" s="167"/>
      <c r="AH10" s="167"/>
      <c r="AI10" s="167"/>
      <c r="AJ10" s="167"/>
      <c r="AK10" s="167"/>
      <c r="AL10" s="173"/>
      <c r="AM10" s="160"/>
    </row>
    <row r="11" spans="1:42" s="79" customFormat="1" ht="11.25" customHeight="1" x14ac:dyDescent="0.2">
      <c r="A11" s="175"/>
      <c r="B11" s="175"/>
      <c r="C11" s="158"/>
      <c r="D11" s="158"/>
      <c r="E11" s="158"/>
      <c r="F11" s="158"/>
      <c r="G11" s="158"/>
      <c r="H11" s="158"/>
      <c r="I11" s="158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66"/>
      <c r="AB11" s="166"/>
      <c r="AC11" s="166"/>
      <c r="AD11" s="166"/>
      <c r="AE11" s="166"/>
      <c r="AF11" s="158"/>
      <c r="AG11" s="167"/>
      <c r="AH11" s="167"/>
      <c r="AI11" s="167"/>
      <c r="AJ11" s="167"/>
      <c r="AK11" s="167"/>
      <c r="AL11" s="173"/>
      <c r="AM11" s="160"/>
    </row>
    <row r="12" spans="1:42" s="79" customFormat="1" ht="15.75" customHeight="1" x14ac:dyDescent="0.2">
      <c r="A12" s="219"/>
      <c r="B12" s="161"/>
      <c r="C12" s="162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81"/>
      <c r="AB12" s="181"/>
      <c r="AC12" s="181"/>
      <c r="AD12" s="181"/>
      <c r="AE12" s="181"/>
      <c r="AF12" s="162"/>
      <c r="AG12" s="326"/>
      <c r="AH12" s="326"/>
      <c r="AI12" s="326"/>
      <c r="AJ12" s="326"/>
      <c r="AK12" s="326"/>
      <c r="AL12" s="327"/>
      <c r="AM12" s="160"/>
    </row>
    <row r="13" spans="1:42" s="223" customFormat="1" ht="43.5" customHeight="1" x14ac:dyDescent="0.2">
      <c r="A13" s="313" t="s">
        <v>432</v>
      </c>
      <c r="B13" s="177"/>
      <c r="C13" s="319">
        <f>'Прогноз 2024-2026 '!C14</f>
        <v>369.952</v>
      </c>
      <c r="D13" s="319">
        <f>'Прогноз 2024-2026 '!D14</f>
        <v>405.09699999999998</v>
      </c>
      <c r="E13" s="319">
        <f>'Прогноз 2024-2026 '!E14</f>
        <v>428.592626</v>
      </c>
      <c r="F13" s="319">
        <f>'Прогноз 2024-2026 '!G14</f>
        <v>441.45040477999999</v>
      </c>
      <c r="G13" s="319">
        <f>'Прогноз 2024-2026 '!H14</f>
        <v>453.81101611383997</v>
      </c>
      <c r="H13" s="319">
        <f>'Прогноз 2024-2026 '!I14</f>
        <v>466.0639135489136</v>
      </c>
      <c r="I13" s="319">
        <f>C13</f>
        <v>369.952</v>
      </c>
      <c r="J13" s="319">
        <f t="shared" ref="J13:N13" si="2">D13</f>
        <v>405.09699999999998</v>
      </c>
      <c r="K13" s="319">
        <f t="shared" si="2"/>
        <v>428.592626</v>
      </c>
      <c r="L13" s="319">
        <f t="shared" si="2"/>
        <v>441.45040477999999</v>
      </c>
      <c r="M13" s="319">
        <f t="shared" si="2"/>
        <v>453.81101611383997</v>
      </c>
      <c r="N13" s="319">
        <f t="shared" si="2"/>
        <v>466.0639135489136</v>
      </c>
      <c r="O13" s="328"/>
      <c r="P13" s="328"/>
      <c r="Q13" s="328"/>
      <c r="R13" s="328"/>
      <c r="S13" s="328"/>
      <c r="T13" s="328"/>
      <c r="U13" s="328">
        <v>348</v>
      </c>
      <c r="V13" s="328">
        <f>'[2]Прогноз 2022-2024 '!D88*1000</f>
        <v>348</v>
      </c>
      <c r="W13" s="328">
        <v>340</v>
      </c>
      <c r="X13" s="328">
        <v>340</v>
      </c>
      <c r="Y13" s="328">
        <v>340</v>
      </c>
      <c r="Z13" s="328">
        <v>340</v>
      </c>
      <c r="AA13" s="317">
        <f>'[2]Прогноз 2022-2024 '!C129</f>
        <v>40748</v>
      </c>
      <c r="AB13" s="317">
        <f>'[2]Прогноз 2022-2024 '!D129</f>
        <v>49273.2</v>
      </c>
      <c r="AC13" s="317">
        <f>'[2]Прогноз 2022-2024 '!E129</f>
        <v>47450.091599999992</v>
      </c>
      <c r="AD13" s="317">
        <f>'[2]Прогноз 2022-2024 '!F129</f>
        <v>45789.338393999991</v>
      </c>
      <c r="AE13" s="317">
        <f>'[2]Прогноз 2022-2024 '!H129</f>
        <v>47973.181409798388</v>
      </c>
      <c r="AF13" s="329">
        <f>'[2]Прогноз 2022-2024 '!I129</f>
        <v>48500.886405306162</v>
      </c>
      <c r="AG13" s="330">
        <f>U13*AA13*12/1000000</f>
        <v>170.16364799999999</v>
      </c>
      <c r="AH13" s="330">
        <f t="shared" ref="AH13:AK13" si="3">V13*AB13*12/1000000</f>
        <v>205.76488319999999</v>
      </c>
      <c r="AI13" s="330">
        <f t="shared" si="3"/>
        <v>193.59637372799997</v>
      </c>
      <c r="AJ13" s="330">
        <f t="shared" si="3"/>
        <v>186.82050064751996</v>
      </c>
      <c r="AK13" s="330">
        <f t="shared" si="3"/>
        <v>195.73058015197742</v>
      </c>
      <c r="AL13" s="330">
        <f>Z13*AF13*12/1000000</f>
        <v>197.88361653364916</v>
      </c>
      <c r="AM13" s="222"/>
    </row>
    <row r="14" spans="1:42" s="79" customFormat="1" ht="15.75" x14ac:dyDescent="0.2">
      <c r="A14" s="331" t="s">
        <v>433</v>
      </c>
      <c r="B14" s="332"/>
      <c r="C14" s="322"/>
      <c r="D14" s="322"/>
      <c r="E14" s="322"/>
      <c r="F14" s="322"/>
      <c r="G14" s="322"/>
      <c r="H14" s="322"/>
      <c r="I14" s="322"/>
      <c r="J14" s="322"/>
      <c r="K14" s="322"/>
      <c r="L14" s="322"/>
      <c r="M14" s="322"/>
      <c r="N14" s="322"/>
      <c r="O14" s="322"/>
      <c r="P14" s="322"/>
      <c r="Q14" s="322"/>
      <c r="R14" s="322"/>
      <c r="S14" s="322"/>
      <c r="T14" s="322"/>
      <c r="U14" s="322"/>
      <c r="V14" s="322"/>
      <c r="W14" s="322"/>
      <c r="X14" s="322"/>
      <c r="Y14" s="322"/>
      <c r="Z14" s="322"/>
      <c r="AA14" s="323"/>
      <c r="AB14" s="323"/>
      <c r="AC14" s="323"/>
      <c r="AD14" s="323"/>
      <c r="AE14" s="323"/>
      <c r="AF14" s="322"/>
      <c r="AG14" s="324"/>
      <c r="AH14" s="324"/>
      <c r="AI14" s="324"/>
      <c r="AJ14" s="324"/>
      <c r="AK14" s="324"/>
      <c r="AL14" s="325"/>
      <c r="AM14" s="160">
        <v>2023</v>
      </c>
      <c r="AN14" s="79">
        <v>2024</v>
      </c>
      <c r="AO14" s="79">
        <v>2025</v>
      </c>
      <c r="AP14" s="224">
        <v>2026</v>
      </c>
    </row>
    <row r="15" spans="1:42" s="225" customFormat="1" ht="33.75" customHeight="1" x14ac:dyDescent="0.2">
      <c r="A15" s="165" t="s">
        <v>434</v>
      </c>
      <c r="B15" s="175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66"/>
      <c r="AB15" s="166"/>
      <c r="AC15" s="166"/>
      <c r="AD15" s="166"/>
      <c r="AE15" s="166"/>
      <c r="AF15" s="158"/>
      <c r="AG15" s="158"/>
      <c r="AH15" s="158"/>
      <c r="AI15" s="158"/>
      <c r="AJ15" s="158"/>
      <c r="AK15" s="158"/>
      <c r="AL15" s="172"/>
      <c r="AM15" s="223" t="s">
        <v>503</v>
      </c>
      <c r="AN15" s="79"/>
      <c r="AO15" s="79"/>
      <c r="AP15" s="79"/>
    </row>
    <row r="16" spans="1:42" s="79" customFormat="1" ht="15.75" customHeight="1" x14ac:dyDescent="0.2">
      <c r="A16" s="118" t="s">
        <v>431</v>
      </c>
      <c r="B16" s="157"/>
      <c r="C16" s="158"/>
      <c r="D16" s="158"/>
      <c r="E16" s="158"/>
      <c r="F16" s="158"/>
      <c r="G16" s="158"/>
      <c r="H16" s="158"/>
      <c r="I16" s="158"/>
      <c r="J16" s="158"/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66"/>
      <c r="AB16" s="166"/>
      <c r="AC16" s="166"/>
      <c r="AD16" s="166"/>
      <c r="AE16" s="166"/>
      <c r="AF16" s="158"/>
      <c r="AG16" s="167"/>
      <c r="AH16" s="167"/>
      <c r="AI16" s="167"/>
      <c r="AJ16" s="167"/>
      <c r="AK16" s="167"/>
      <c r="AL16" s="173"/>
      <c r="AM16" s="226">
        <v>1.054</v>
      </c>
      <c r="AN16" s="226">
        <v>1.028</v>
      </c>
      <c r="AO16" s="226">
        <v>1.028</v>
      </c>
      <c r="AP16" s="226">
        <v>1.028</v>
      </c>
    </row>
    <row r="17" spans="1:39" s="79" customFormat="1" ht="15.75" x14ac:dyDescent="0.2">
      <c r="A17" s="118" t="s">
        <v>435</v>
      </c>
      <c r="B17" s="157" t="s">
        <v>436</v>
      </c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>
        <v>178</v>
      </c>
      <c r="V17" s="158">
        <v>184</v>
      </c>
      <c r="W17" s="158">
        <v>184</v>
      </c>
      <c r="X17" s="158">
        <v>184</v>
      </c>
      <c r="Y17" s="158">
        <v>184</v>
      </c>
      <c r="Z17" s="158">
        <v>184</v>
      </c>
      <c r="AA17" s="159">
        <f t="shared" ref="AA17:AF18" si="4">AG17/U17/12*1000000</f>
        <v>46492.97752808989</v>
      </c>
      <c r="AB17" s="159">
        <f t="shared" si="4"/>
        <v>58813.405797101455</v>
      </c>
      <c r="AC17" s="159">
        <f>AI17/W17/12*1000000</f>
        <v>61989.329710144935</v>
      </c>
      <c r="AD17" s="159">
        <f t="shared" si="4"/>
        <v>63725.030942028985</v>
      </c>
      <c r="AE17" s="159">
        <f t="shared" si="4"/>
        <v>65509.331808405805</v>
      </c>
      <c r="AF17" s="159">
        <f t="shared" si="4"/>
        <v>67343.593099041173</v>
      </c>
      <c r="AG17" s="159">
        <v>99.308999999999997</v>
      </c>
      <c r="AH17" s="159">
        <v>129.86000000000001</v>
      </c>
      <c r="AI17" s="159">
        <f>AH17*$AM$16</f>
        <v>136.87244000000001</v>
      </c>
      <c r="AJ17" s="159">
        <f>AI17*$AN$16</f>
        <v>140.70486832</v>
      </c>
      <c r="AK17" s="159">
        <f>AJ17*$AO$16</f>
        <v>144.64460463296001</v>
      </c>
      <c r="AL17" s="159">
        <f>AK17*$AP$16</f>
        <v>148.6946535626829</v>
      </c>
      <c r="AM17" s="160"/>
    </row>
    <row r="18" spans="1:39" s="79" customFormat="1" ht="15.75" x14ac:dyDescent="0.2">
      <c r="A18" s="219" t="s">
        <v>437</v>
      </c>
      <c r="B18" s="161" t="s">
        <v>438</v>
      </c>
      <c r="C18" s="162"/>
      <c r="D18" s="162"/>
      <c r="E18" s="162"/>
      <c r="F18" s="163"/>
      <c r="G18" s="163"/>
      <c r="H18" s="163"/>
      <c r="I18" s="162"/>
      <c r="J18" s="162"/>
      <c r="K18" s="164"/>
      <c r="L18" s="164"/>
      <c r="M18" s="164"/>
      <c r="N18" s="164"/>
      <c r="O18" s="162"/>
      <c r="P18" s="162"/>
      <c r="Q18" s="162"/>
      <c r="R18" s="162"/>
      <c r="S18" s="162"/>
      <c r="T18" s="162"/>
      <c r="U18" s="162">
        <v>176</v>
      </c>
      <c r="V18" s="162">
        <f>U18</f>
        <v>176</v>
      </c>
      <c r="W18" s="162">
        <f t="shared" ref="W18:Z18" si="5">V18</f>
        <v>176</v>
      </c>
      <c r="X18" s="162">
        <f t="shared" si="5"/>
        <v>176</v>
      </c>
      <c r="Y18" s="162">
        <f t="shared" si="5"/>
        <v>176</v>
      </c>
      <c r="Z18" s="162">
        <f t="shared" si="5"/>
        <v>176</v>
      </c>
      <c r="AA18" s="163">
        <f>AG18/U18/12*1000000</f>
        <v>37005.208333333336</v>
      </c>
      <c r="AB18" s="163">
        <f>AH18/V18/12*1000000</f>
        <v>42111.927083333336</v>
      </c>
      <c r="AC18" s="163">
        <f t="shared" si="4"/>
        <v>44385.971145833333</v>
      </c>
      <c r="AD18" s="163">
        <f t="shared" si="4"/>
        <v>45628.778337916672</v>
      </c>
      <c r="AE18" s="163">
        <f t="shared" si="4"/>
        <v>46906.384131378341</v>
      </c>
      <c r="AF18" s="163">
        <f t="shared" si="4"/>
        <v>48219.762887056932</v>
      </c>
      <c r="AG18" s="163">
        <v>78.155000000000001</v>
      </c>
      <c r="AH18" s="163">
        <f>AG18*113.8%</f>
        <v>88.940389999999994</v>
      </c>
      <c r="AI18" s="159">
        <f>AH18*$AM$16</f>
        <v>93.743171059999995</v>
      </c>
      <c r="AJ18" s="159">
        <f>AI18*$AN$16</f>
        <v>96.367979849679998</v>
      </c>
      <c r="AK18" s="159">
        <f>AJ18*$AO$16</f>
        <v>99.066283285471044</v>
      </c>
      <c r="AL18" s="159">
        <f>AK18*$AP$16</f>
        <v>101.84013921746424</v>
      </c>
      <c r="AM18" s="160"/>
    </row>
    <row r="19" spans="1:39" s="223" customFormat="1" ht="37.5" x14ac:dyDescent="0.2">
      <c r="A19" s="333" t="s">
        <v>439</v>
      </c>
      <c r="B19" s="165"/>
      <c r="C19" s="319">
        <f>'Прогноз 2024-2026 '!C15</f>
        <v>619.53300000000002</v>
      </c>
      <c r="D19" s="319">
        <f>'Прогноз 2024-2026 '!D15</f>
        <v>753.85199999999998</v>
      </c>
      <c r="E19" s="319">
        <f>'Прогноз 2024-2026 '!E15</f>
        <v>758.37511199999994</v>
      </c>
      <c r="F19" s="319">
        <f>'Прогноз 2024-2026 '!G15</f>
        <v>795.53549248799993</v>
      </c>
      <c r="G19" s="319">
        <f>'Прогноз 2024-2026 '!H15</f>
        <v>827.35691218751992</v>
      </c>
      <c r="H19" s="319">
        <f>'Прогноз 2024-2026 '!I15</f>
        <v>859.62383176283311</v>
      </c>
      <c r="I19" s="319">
        <f>C19</f>
        <v>619.53300000000002</v>
      </c>
      <c r="J19" s="319">
        <f t="shared" ref="J19:N19" si="6">D19</f>
        <v>753.85199999999998</v>
      </c>
      <c r="K19" s="319">
        <f t="shared" si="6"/>
        <v>758.37511199999994</v>
      </c>
      <c r="L19" s="319">
        <f t="shared" si="6"/>
        <v>795.53549248799993</v>
      </c>
      <c r="M19" s="319">
        <f t="shared" si="6"/>
        <v>827.35691218751992</v>
      </c>
      <c r="N19" s="319">
        <f t="shared" si="6"/>
        <v>859.62383176283311</v>
      </c>
      <c r="O19" s="328">
        <f>O21+O26+O41</f>
        <v>-11.414999999999997</v>
      </c>
      <c r="P19" s="328">
        <f t="shared" ref="P19:T19" si="7">P21+P26+P41</f>
        <v>-150.84399999999999</v>
      </c>
      <c r="Q19" s="328">
        <f t="shared" si="7"/>
        <v>17.024000000000001</v>
      </c>
      <c r="R19" s="328">
        <f t="shared" si="7"/>
        <v>15</v>
      </c>
      <c r="S19" s="328">
        <f t="shared" si="7"/>
        <v>15</v>
      </c>
      <c r="T19" s="328">
        <f t="shared" si="7"/>
        <v>15</v>
      </c>
      <c r="U19" s="328">
        <v>713</v>
      </c>
      <c r="V19" s="328">
        <v>639</v>
      </c>
      <c r="W19" s="328">
        <f>'[2]Прогноз 2022-2024 '!E89*1000</f>
        <v>710</v>
      </c>
      <c r="X19" s="328">
        <f>'[2]Прогноз 2022-2024 '!F89*1000</f>
        <v>710</v>
      </c>
      <c r="Y19" s="328">
        <f>'[2]Прогноз 2022-2024 '!H89*1000</f>
        <v>710</v>
      </c>
      <c r="Z19" s="328">
        <f>'[2]Прогноз 2022-2024 '!I89*1000</f>
        <v>710</v>
      </c>
      <c r="AA19" s="317">
        <f>'[2]Прогноз 2022-2024 '!C130</f>
        <v>24172.14</v>
      </c>
      <c r="AB19" s="317">
        <f>'[2]Прогноз 2022-2024 '!D130</f>
        <v>36046.1</v>
      </c>
      <c r="AC19" s="317">
        <f>'[2]Прогноз 2022-2024 '!E130</f>
        <v>34712.3943</v>
      </c>
      <c r="AD19" s="317">
        <f>'[2]Прогноз 2022-2024 '!F130</f>
        <v>33497.460499499997</v>
      </c>
      <c r="AE19" s="317">
        <f>'[2]Прогноз 2022-2024 '!H130</f>
        <v>35095.063734763193</v>
      </c>
      <c r="AF19" s="318">
        <f>'[2]Прогноз 2022-2024 '!I130</f>
        <v>35481.109435845581</v>
      </c>
      <c r="AG19" s="330">
        <f>U19*AA19*12/1000000</f>
        <v>206.81682984</v>
      </c>
      <c r="AH19" s="330">
        <f t="shared" ref="AH19:AL19" si="8">V19*AB19*12/1000000</f>
        <v>276.40149479999997</v>
      </c>
      <c r="AI19" s="330">
        <f t="shared" si="8"/>
        <v>295.74959943599998</v>
      </c>
      <c r="AJ19" s="330">
        <f t="shared" si="8"/>
        <v>285.39836345573997</v>
      </c>
      <c r="AK19" s="330">
        <f t="shared" si="8"/>
        <v>299.00994302018245</v>
      </c>
      <c r="AL19" s="330">
        <f t="shared" si="8"/>
        <v>302.29905239340434</v>
      </c>
      <c r="AM19" s="222"/>
    </row>
    <row r="20" spans="1:39" s="79" customFormat="1" ht="15.75" customHeight="1" x14ac:dyDescent="0.2">
      <c r="A20" s="331" t="s">
        <v>433</v>
      </c>
      <c r="B20" s="332"/>
      <c r="C20" s="322"/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322"/>
      <c r="P20" s="322"/>
      <c r="Q20" s="322"/>
      <c r="R20" s="322"/>
      <c r="S20" s="322"/>
      <c r="T20" s="322"/>
      <c r="U20" s="322"/>
      <c r="V20" s="322"/>
      <c r="W20" s="322"/>
      <c r="X20" s="322"/>
      <c r="Y20" s="322"/>
      <c r="Z20" s="322"/>
      <c r="AA20" s="323"/>
      <c r="AB20" s="323"/>
      <c r="AC20" s="323"/>
      <c r="AD20" s="323"/>
      <c r="AE20" s="323"/>
      <c r="AF20" s="322"/>
      <c r="AG20" s="324"/>
      <c r="AH20" s="324"/>
      <c r="AI20" s="324"/>
      <c r="AJ20" s="324"/>
      <c r="AK20" s="324"/>
      <c r="AL20" s="325"/>
      <c r="AM20" s="160"/>
    </row>
    <row r="21" spans="1:39" s="79" customFormat="1" ht="31.5" x14ac:dyDescent="0.2">
      <c r="A21" s="165" t="s">
        <v>440</v>
      </c>
      <c r="B21" s="157"/>
      <c r="C21" s="158">
        <f>SUM(C23:C25)</f>
        <v>355.27499999999998</v>
      </c>
      <c r="D21" s="158">
        <f>SUM(D23:D25)</f>
        <v>364.37</v>
      </c>
      <c r="E21" s="158">
        <f t="shared" ref="E21:H21" si="9">SUM(E23:E25)</f>
        <v>369.33617200000003</v>
      </c>
      <c r="F21" s="158">
        <f t="shared" si="9"/>
        <v>387.43364442800009</v>
      </c>
      <c r="G21" s="158">
        <f t="shared" si="9"/>
        <v>402.93099020512011</v>
      </c>
      <c r="H21" s="158">
        <f t="shared" si="9"/>
        <v>419.04822981332495</v>
      </c>
      <c r="I21" s="158">
        <f t="shared" ref="I21:Z21" si="10">SUM(I23:I25)</f>
        <v>355.27499999999998</v>
      </c>
      <c r="J21" s="158">
        <f t="shared" si="10"/>
        <v>364.37</v>
      </c>
      <c r="K21" s="158">
        <f t="shared" si="10"/>
        <v>369.33617200000003</v>
      </c>
      <c r="L21" s="158">
        <f t="shared" si="10"/>
        <v>387.43364442800009</v>
      </c>
      <c r="M21" s="158">
        <f t="shared" si="10"/>
        <v>402.93099020512011</v>
      </c>
      <c r="N21" s="158">
        <f t="shared" si="10"/>
        <v>419.04822981332495</v>
      </c>
      <c r="O21" s="158">
        <f t="shared" si="10"/>
        <v>8.9550000000000001</v>
      </c>
      <c r="P21" s="158">
        <f t="shared" si="10"/>
        <v>10.483000000000001</v>
      </c>
      <c r="Q21" s="158">
        <f t="shared" si="10"/>
        <v>2.024</v>
      </c>
      <c r="R21" s="158">
        <f t="shared" si="10"/>
        <v>0</v>
      </c>
      <c r="S21" s="158">
        <f t="shared" si="10"/>
        <v>0</v>
      </c>
      <c r="T21" s="158">
        <f t="shared" si="10"/>
        <v>0</v>
      </c>
      <c r="U21" s="158">
        <f t="shared" si="10"/>
        <v>134</v>
      </c>
      <c r="V21" s="158">
        <f t="shared" si="10"/>
        <v>159</v>
      </c>
      <c r="W21" s="158">
        <f>SUM(W23:W25)</f>
        <v>164</v>
      </c>
      <c r="X21" s="158">
        <f t="shared" si="10"/>
        <v>164</v>
      </c>
      <c r="Y21" s="158">
        <f t="shared" si="10"/>
        <v>164</v>
      </c>
      <c r="Z21" s="158">
        <f t="shared" si="10"/>
        <v>164</v>
      </c>
      <c r="AA21" s="166">
        <f>AG21/U21/12*1000000</f>
        <v>25896.766169154223</v>
      </c>
      <c r="AB21" s="166">
        <f t="shared" ref="AB21:AE21" si="11">AH21/V21/12*1000000</f>
        <v>34298.19308899009</v>
      </c>
      <c r="AC21" s="166">
        <f>AI21/W21/12*1000000</f>
        <v>35562.202156574152</v>
      </c>
      <c r="AD21" s="166">
        <f t="shared" si="11"/>
        <v>36557.943816958228</v>
      </c>
      <c r="AE21" s="166">
        <f t="shared" si="11"/>
        <v>37581.566243833062</v>
      </c>
      <c r="AF21" s="158">
        <f>AL21/Z21/12*1000000</f>
        <v>38633.850098660383</v>
      </c>
      <c r="AG21" s="158">
        <f t="shared" ref="AG21:AL21" si="12">SUM(AG23:AG25)</f>
        <v>41.641999999999996</v>
      </c>
      <c r="AH21" s="158">
        <f t="shared" si="12"/>
        <v>65.440952413793099</v>
      </c>
      <c r="AI21" s="159">
        <f t="shared" si="12"/>
        <v>69.986413844137928</v>
      </c>
      <c r="AJ21" s="159">
        <f t="shared" si="12"/>
        <v>71.946033431773785</v>
      </c>
      <c r="AK21" s="159">
        <f t="shared" si="12"/>
        <v>73.960522367863462</v>
      </c>
      <c r="AL21" s="334">
        <f t="shared" si="12"/>
        <v>76.031416994163635</v>
      </c>
      <c r="AM21" s="160"/>
    </row>
    <row r="22" spans="1:39" s="79" customFormat="1" ht="16.5" customHeight="1" x14ac:dyDescent="0.2">
      <c r="A22" s="118" t="s">
        <v>431</v>
      </c>
      <c r="B22" s="157"/>
      <c r="C22" s="158"/>
      <c r="D22" s="158"/>
      <c r="E22" s="158"/>
      <c r="F22" s="158"/>
      <c r="G22" s="158"/>
      <c r="H22" s="158"/>
      <c r="I22" s="158"/>
      <c r="J22" s="158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66"/>
      <c r="AB22" s="166"/>
      <c r="AC22" s="166"/>
      <c r="AD22" s="166"/>
      <c r="AE22" s="166"/>
      <c r="AF22" s="158"/>
      <c r="AG22" s="167"/>
      <c r="AH22" s="167"/>
      <c r="AI22" s="168"/>
      <c r="AJ22" s="168"/>
      <c r="AK22" s="168"/>
      <c r="AL22" s="169"/>
      <c r="AM22" s="160"/>
    </row>
    <row r="23" spans="1:39" s="171" customFormat="1" ht="15.75" x14ac:dyDescent="0.25">
      <c r="A23" s="174" t="s">
        <v>441</v>
      </c>
      <c r="B23" s="170" t="s">
        <v>442</v>
      </c>
      <c r="C23" s="158">
        <v>87.832999999999998</v>
      </c>
      <c r="D23" s="158">
        <v>127.36199999999999</v>
      </c>
      <c r="E23" s="158">
        <f>33.707*4</f>
        <v>134.828</v>
      </c>
      <c r="F23" s="158">
        <f>E23*104.9%</f>
        <v>141.43457200000003</v>
      </c>
      <c r="G23" s="207">
        <f t="shared" ref="G23:H25" si="13">F23*104%</f>
        <v>147.09195488000003</v>
      </c>
      <c r="H23" s="158">
        <f t="shared" si="13"/>
        <v>152.97563307520005</v>
      </c>
      <c r="I23" s="158">
        <f>C23</f>
        <v>87.832999999999998</v>
      </c>
      <c r="J23" s="158">
        <f>D23</f>
        <v>127.36199999999999</v>
      </c>
      <c r="K23" s="158">
        <f t="shared" ref="J23:N25" si="14">E23</f>
        <v>134.828</v>
      </c>
      <c r="L23" s="158">
        <f>F23</f>
        <v>141.43457200000003</v>
      </c>
      <c r="M23" s="158">
        <f t="shared" si="14"/>
        <v>147.09195488000003</v>
      </c>
      <c r="N23" s="158">
        <f t="shared" si="14"/>
        <v>152.97563307520005</v>
      </c>
      <c r="O23" s="158"/>
      <c r="P23" s="158"/>
      <c r="Q23" s="158"/>
      <c r="R23" s="158"/>
      <c r="S23" s="158"/>
      <c r="T23" s="158"/>
      <c r="U23" s="158">
        <v>35</v>
      </c>
      <c r="V23" s="158">
        <v>41</v>
      </c>
      <c r="W23" s="158">
        <v>48</v>
      </c>
      <c r="X23" s="158">
        <v>48</v>
      </c>
      <c r="Y23" s="158">
        <v>48</v>
      </c>
      <c r="Z23" s="158">
        <v>48</v>
      </c>
      <c r="AA23" s="166">
        <f>AG23/U23/12*1000000</f>
        <v>2250</v>
      </c>
      <c r="AB23" s="166">
        <f t="shared" ref="AA23:AF26" si="15">AH23/V23/12*1000000</f>
        <v>18343.495934959352</v>
      </c>
      <c r="AC23" s="166">
        <f t="shared" si="15"/>
        <v>18270.833333333328</v>
      </c>
      <c r="AD23" s="166">
        <f t="shared" si="15"/>
        <v>18782.416666666664</v>
      </c>
      <c r="AE23" s="166">
        <f t="shared" si="15"/>
        <v>19308.32433333333</v>
      </c>
      <c r="AF23" s="158">
        <f t="shared" si="15"/>
        <v>19848.957414666667</v>
      </c>
      <c r="AG23" s="158">
        <v>0.94499999999999995</v>
      </c>
      <c r="AH23" s="158">
        <v>9.0250000000000004</v>
      </c>
      <c r="AI23" s="207">
        <f>2.631*4</f>
        <v>10.523999999999999</v>
      </c>
      <c r="AJ23" s="207">
        <f>AI23*$AN$16</f>
        <v>10.818671999999999</v>
      </c>
      <c r="AK23" s="207">
        <f>AJ23*$AO$16</f>
        <v>11.121594816</v>
      </c>
      <c r="AL23" s="207">
        <f>AK23*$AP$16</f>
        <v>11.432999470847999</v>
      </c>
    </row>
    <row r="24" spans="1:39" s="171" customFormat="1" ht="15.75" x14ac:dyDescent="0.25">
      <c r="A24" s="174" t="s">
        <v>443</v>
      </c>
      <c r="B24" s="170" t="s">
        <v>442</v>
      </c>
      <c r="C24" s="158">
        <v>113.61799999999999</v>
      </c>
      <c r="D24" s="158">
        <v>136.947</v>
      </c>
      <c r="E24" s="158">
        <f>32.311*4</f>
        <v>129.244</v>
      </c>
      <c r="F24" s="158">
        <f>E24*104.9%</f>
        <v>135.57695600000002</v>
      </c>
      <c r="G24" s="207">
        <f t="shared" si="13"/>
        <v>141.00003424000002</v>
      </c>
      <c r="H24" s="158">
        <f t="shared" si="13"/>
        <v>146.64003560960003</v>
      </c>
      <c r="I24" s="158">
        <f>C24</f>
        <v>113.61799999999999</v>
      </c>
      <c r="J24" s="158">
        <f t="shared" si="14"/>
        <v>136.947</v>
      </c>
      <c r="K24" s="158">
        <f>E24</f>
        <v>129.244</v>
      </c>
      <c r="L24" s="158">
        <f t="shared" si="14"/>
        <v>135.57695600000002</v>
      </c>
      <c r="M24" s="158">
        <f t="shared" si="14"/>
        <v>141.00003424000002</v>
      </c>
      <c r="N24" s="158">
        <f t="shared" si="14"/>
        <v>146.64003560960003</v>
      </c>
      <c r="O24" s="158">
        <v>8.9550000000000001</v>
      </c>
      <c r="P24" s="158">
        <v>10.483000000000001</v>
      </c>
      <c r="Q24" s="158">
        <f>0.506*4</f>
        <v>2.024</v>
      </c>
      <c r="R24" s="158"/>
      <c r="S24" s="158"/>
      <c r="T24" s="158"/>
      <c r="U24" s="158">
        <v>70</v>
      </c>
      <c r="V24" s="158">
        <v>73</v>
      </c>
      <c r="W24" s="158">
        <v>71</v>
      </c>
      <c r="X24" s="158">
        <v>71</v>
      </c>
      <c r="Y24" s="158">
        <v>71</v>
      </c>
      <c r="Z24" s="158">
        <v>71</v>
      </c>
      <c r="AA24" s="166">
        <f>AG24/U24/12*1000000</f>
        <v>33779.761904761901</v>
      </c>
      <c r="AB24" s="166">
        <f t="shared" si="15"/>
        <v>39562.785388127842</v>
      </c>
      <c r="AC24" s="166">
        <f t="shared" si="15"/>
        <v>42873.800469483576</v>
      </c>
      <c r="AD24" s="166">
        <f t="shared" si="15"/>
        <v>44074.266882629112</v>
      </c>
      <c r="AE24" s="166">
        <f t="shared" si="15"/>
        <v>45308.346355342728</v>
      </c>
      <c r="AF24" s="158">
        <f>AL24/Z24/12*1000000</f>
        <v>46576.980053292325</v>
      </c>
      <c r="AG24" s="158">
        <v>28.375</v>
      </c>
      <c r="AH24" s="158">
        <v>34.656999999999996</v>
      </c>
      <c r="AI24" s="207">
        <f t="shared" ref="AI24:AI25" si="16">AH24*$AM$16</f>
        <v>36.528478</v>
      </c>
      <c r="AJ24" s="207">
        <f t="shared" ref="AJ24:AJ25" si="17">AI24*$AN$16</f>
        <v>37.551275384</v>
      </c>
      <c r="AK24" s="207">
        <f t="shared" ref="AK24:AK25" si="18">AJ24*$AO$16</f>
        <v>38.602711094752003</v>
      </c>
      <c r="AL24" s="207">
        <f t="shared" ref="AL24:AL25" si="19">AK24*$AP$16</f>
        <v>39.683587005405059</v>
      </c>
    </row>
    <row r="25" spans="1:39" s="171" customFormat="1" ht="15.75" x14ac:dyDescent="0.25">
      <c r="A25" s="174" t="s">
        <v>282</v>
      </c>
      <c r="B25" s="170" t="s">
        <v>442</v>
      </c>
      <c r="C25" s="158">
        <v>153.82400000000001</v>
      </c>
      <c r="D25" s="158">
        <v>100.06100000000001</v>
      </c>
      <c r="E25" s="159">
        <f>D25*105.2%</f>
        <v>105.26417200000002</v>
      </c>
      <c r="F25" s="158">
        <f>E25*104.9%</f>
        <v>110.42211642800004</v>
      </c>
      <c r="G25" s="207">
        <f t="shared" si="13"/>
        <v>114.83900108512005</v>
      </c>
      <c r="H25" s="158">
        <f t="shared" si="13"/>
        <v>119.43256112852485</v>
      </c>
      <c r="I25" s="158">
        <f>C25</f>
        <v>153.82400000000001</v>
      </c>
      <c r="J25" s="158">
        <f t="shared" si="14"/>
        <v>100.06100000000001</v>
      </c>
      <c r="K25" s="158">
        <f t="shared" si="14"/>
        <v>105.26417200000002</v>
      </c>
      <c r="L25" s="158">
        <f t="shared" si="14"/>
        <v>110.42211642800004</v>
      </c>
      <c r="M25" s="158">
        <f t="shared" si="14"/>
        <v>114.83900108512005</v>
      </c>
      <c r="N25" s="158">
        <f>H25</f>
        <v>119.43256112852485</v>
      </c>
      <c r="O25" s="158"/>
      <c r="P25" s="158"/>
      <c r="Q25" s="158"/>
      <c r="R25" s="158"/>
      <c r="S25" s="158"/>
      <c r="T25" s="158"/>
      <c r="U25" s="158">
        <v>29</v>
      </c>
      <c r="V25" s="158">
        <v>45</v>
      </c>
      <c r="W25" s="158">
        <v>45</v>
      </c>
      <c r="X25" s="158">
        <v>45</v>
      </c>
      <c r="Y25" s="158">
        <v>45</v>
      </c>
      <c r="Z25" s="158">
        <v>45</v>
      </c>
      <c r="AA25" s="166">
        <f t="shared" si="15"/>
        <v>35408.04597701149</v>
      </c>
      <c r="AB25" s="166">
        <f t="shared" si="15"/>
        <v>40294.35632183907</v>
      </c>
      <c r="AC25" s="166">
        <f>AI25/W25/12*1000000</f>
        <v>42470.251563218379</v>
      </c>
      <c r="AD25" s="166">
        <f t="shared" si="15"/>
        <v>43659.418606988496</v>
      </c>
      <c r="AE25" s="166">
        <f t="shared" si="15"/>
        <v>44881.882327984182</v>
      </c>
      <c r="AF25" s="158">
        <f>AL25/Z25/12*1000000</f>
        <v>46138.575033167734</v>
      </c>
      <c r="AG25" s="158">
        <v>12.321999999999999</v>
      </c>
      <c r="AH25" s="159">
        <f>AG25*113.8%/29*45</f>
        <v>21.7589524137931</v>
      </c>
      <c r="AI25" s="207">
        <f t="shared" si="16"/>
        <v>22.933935844137928</v>
      </c>
      <c r="AJ25" s="207">
        <f t="shared" si="17"/>
        <v>23.576086047773789</v>
      </c>
      <c r="AK25" s="207">
        <f t="shared" si="18"/>
        <v>24.236216457111457</v>
      </c>
      <c r="AL25" s="207">
        <f t="shared" si="19"/>
        <v>24.914830517910577</v>
      </c>
    </row>
    <row r="26" spans="1:39" s="79" customFormat="1" ht="15.75" x14ac:dyDescent="0.2">
      <c r="A26" s="165" t="s">
        <v>444</v>
      </c>
      <c r="B26" s="157"/>
      <c r="C26" s="158">
        <f>SUM(C28:C32)</f>
        <v>515.12799999999993</v>
      </c>
      <c r="D26" s="158">
        <f>SUM(D28:D32)</f>
        <v>903.90199999999993</v>
      </c>
      <c r="E26" s="158">
        <f t="shared" ref="E26:H26" si="20">SUM(E28:E32)</f>
        <v>1085.9190000000001</v>
      </c>
      <c r="F26" s="158">
        <f t="shared" si="20"/>
        <v>1121.6629320000002</v>
      </c>
      <c r="G26" s="158">
        <f t="shared" si="20"/>
        <v>1152.2714092800002</v>
      </c>
      <c r="H26" s="158">
        <f t="shared" si="20"/>
        <v>1184.1042256512001</v>
      </c>
      <c r="I26" s="158">
        <f>SUM(I28:I32)</f>
        <v>546.5619999999999</v>
      </c>
      <c r="J26" s="158">
        <f t="shared" ref="J26:Z26" si="21">SUM(J28:J32)</f>
        <v>947.53200000000004</v>
      </c>
      <c r="K26" s="158">
        <f t="shared" si="21"/>
        <v>1140.2270000000001</v>
      </c>
      <c r="L26" s="158">
        <f t="shared" si="21"/>
        <v>1175.9709320000002</v>
      </c>
      <c r="M26" s="158">
        <f t="shared" si="21"/>
        <v>1206.5794092800002</v>
      </c>
      <c r="N26" s="158">
        <f>SUM(N28:N32)</f>
        <v>1238.4122256512001</v>
      </c>
      <c r="O26" s="158">
        <f t="shared" si="21"/>
        <v>-20.369999999999997</v>
      </c>
      <c r="P26" s="158">
        <f t="shared" si="21"/>
        <v>-161.327</v>
      </c>
      <c r="Q26" s="158">
        <f t="shared" si="21"/>
        <v>15</v>
      </c>
      <c r="R26" s="158">
        <f t="shared" si="21"/>
        <v>15</v>
      </c>
      <c r="S26" s="158">
        <f t="shared" si="21"/>
        <v>15</v>
      </c>
      <c r="T26" s="158">
        <f t="shared" si="21"/>
        <v>15</v>
      </c>
      <c r="U26" s="158">
        <f t="shared" si="21"/>
        <v>152.69999999999999</v>
      </c>
      <c r="V26" s="158">
        <f t="shared" si="21"/>
        <v>198</v>
      </c>
      <c r="W26" s="158">
        <f t="shared" si="21"/>
        <v>190</v>
      </c>
      <c r="X26" s="158">
        <f t="shared" si="21"/>
        <v>190</v>
      </c>
      <c r="Y26" s="158">
        <f t="shared" si="21"/>
        <v>192</v>
      </c>
      <c r="Z26" s="158">
        <f t="shared" si="21"/>
        <v>192</v>
      </c>
      <c r="AA26" s="166">
        <f>AG26/U26/12*1000000</f>
        <v>42162.191661209348</v>
      </c>
      <c r="AB26" s="166">
        <f t="shared" si="15"/>
        <v>51167.508417508412</v>
      </c>
      <c r="AC26" s="166">
        <f t="shared" si="15"/>
        <v>56316.95438596492</v>
      </c>
      <c r="AD26" s="166">
        <f t="shared" si="15"/>
        <v>57684.355424561407</v>
      </c>
      <c r="AE26" s="166">
        <f t="shared" si="15"/>
        <v>58645.70295933335</v>
      </c>
      <c r="AF26" s="158">
        <f t="shared" si="15"/>
        <v>59983.963197750236</v>
      </c>
      <c r="AG26" s="158">
        <f>SUM(AG28:AG32)</f>
        <v>77.257999999999996</v>
      </c>
      <c r="AH26" s="158">
        <f t="shared" ref="AH26:AL26" si="22">SUM(AH28:AH32)</f>
        <v>121.57399999999998</v>
      </c>
      <c r="AI26" s="207">
        <f t="shared" si="22"/>
        <v>128.40265600000001</v>
      </c>
      <c r="AJ26" s="207">
        <f t="shared" si="22"/>
        <v>131.520330368</v>
      </c>
      <c r="AK26" s="207">
        <f t="shared" si="22"/>
        <v>135.11969961830403</v>
      </c>
      <c r="AL26" s="335">
        <f t="shared" si="22"/>
        <v>138.20305120761654</v>
      </c>
      <c r="AM26" s="160"/>
    </row>
    <row r="27" spans="1:39" s="79" customFormat="1" ht="15.75" x14ac:dyDescent="0.2">
      <c r="A27" s="118" t="s">
        <v>431</v>
      </c>
      <c r="B27" s="157"/>
      <c r="C27" s="158"/>
      <c r="D27" s="158"/>
      <c r="E27" s="158"/>
      <c r="F27" s="158"/>
      <c r="G27" s="158"/>
      <c r="H27" s="158"/>
      <c r="I27" s="158"/>
      <c r="J27" s="158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66"/>
      <c r="AB27" s="166"/>
      <c r="AC27" s="166"/>
      <c r="AD27" s="166"/>
      <c r="AE27" s="166"/>
      <c r="AF27" s="158"/>
      <c r="AG27" s="167"/>
      <c r="AH27" s="167"/>
      <c r="AI27" s="220"/>
      <c r="AJ27" s="220"/>
      <c r="AK27" s="220"/>
      <c r="AL27" s="221"/>
      <c r="AM27" s="160"/>
    </row>
    <row r="28" spans="1:39" s="79" customFormat="1" ht="15.75" x14ac:dyDescent="0.2">
      <c r="A28" s="118" t="s">
        <v>445</v>
      </c>
      <c r="B28" s="157" t="s">
        <v>446</v>
      </c>
      <c r="C28" s="158">
        <v>13.877000000000001</v>
      </c>
      <c r="D28" s="158">
        <v>23.617000000000001</v>
      </c>
      <c r="E28" s="158">
        <v>25</v>
      </c>
      <c r="F28" s="158">
        <v>25</v>
      </c>
      <c r="G28" s="158">
        <v>25</v>
      </c>
      <c r="H28" s="158">
        <v>25</v>
      </c>
      <c r="I28" s="158">
        <v>16.221</v>
      </c>
      <c r="J28" s="158">
        <v>25.670999999999999</v>
      </c>
      <c r="K28" s="158">
        <v>30</v>
      </c>
      <c r="L28" s="158">
        <v>30</v>
      </c>
      <c r="M28" s="158">
        <v>30</v>
      </c>
      <c r="N28" s="158">
        <v>30</v>
      </c>
      <c r="O28" s="158">
        <v>2.2999999999999998</v>
      </c>
      <c r="P28" s="158">
        <v>2</v>
      </c>
      <c r="Q28" s="158">
        <v>5</v>
      </c>
      <c r="R28" s="158">
        <v>5</v>
      </c>
      <c r="S28" s="158">
        <v>5</v>
      </c>
      <c r="T28" s="158">
        <v>5</v>
      </c>
      <c r="U28" s="158">
        <v>8</v>
      </c>
      <c r="V28" s="158">
        <v>8</v>
      </c>
      <c r="W28" s="158">
        <v>10</v>
      </c>
      <c r="X28" s="158">
        <v>10</v>
      </c>
      <c r="Y28" s="158">
        <v>12</v>
      </c>
      <c r="Z28" s="158">
        <v>12</v>
      </c>
      <c r="AA28" s="166">
        <f t="shared" ref="AA28:AF28" si="23">AG28/U28/12*1000000</f>
        <v>13541.666666666668</v>
      </c>
      <c r="AB28" s="166">
        <f t="shared" si="23"/>
        <v>19531.25</v>
      </c>
      <c r="AC28" s="166">
        <f t="shared" si="23"/>
        <v>18333.333333333336</v>
      </c>
      <c r="AD28" s="166">
        <f t="shared" si="23"/>
        <v>20000</v>
      </c>
      <c r="AE28" s="166">
        <f t="shared" si="23"/>
        <v>20833.333333333332</v>
      </c>
      <c r="AF28" s="158">
        <f t="shared" si="23"/>
        <v>20833.333333333332</v>
      </c>
      <c r="AG28" s="158">
        <v>1.3</v>
      </c>
      <c r="AH28" s="158">
        <v>1.875</v>
      </c>
      <c r="AI28" s="207">
        <v>2.2000000000000002</v>
      </c>
      <c r="AJ28" s="207">
        <v>2.4</v>
      </c>
      <c r="AK28" s="207">
        <v>3</v>
      </c>
      <c r="AL28" s="207">
        <v>3</v>
      </c>
      <c r="AM28" s="160"/>
    </row>
    <row r="29" spans="1:39" s="171" customFormat="1" ht="15.75" hidden="1" x14ac:dyDescent="0.25">
      <c r="A29" s="174"/>
      <c r="B29" s="170"/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66"/>
      <c r="AB29" s="166"/>
      <c r="AC29" s="166"/>
      <c r="AD29" s="166"/>
      <c r="AE29" s="166"/>
      <c r="AF29" s="158"/>
      <c r="AG29" s="158"/>
      <c r="AH29" s="158"/>
      <c r="AI29" s="207">
        <f t="shared" ref="AI29:AI32" si="24">AH29*$AM$16</f>
        <v>0</v>
      </c>
      <c r="AJ29" s="207">
        <f t="shared" ref="AJ29:AJ32" si="25">AI29*$AN$16</f>
        <v>0</v>
      </c>
      <c r="AK29" s="207">
        <f t="shared" ref="AK29:AK32" si="26">AJ29*$AO$16</f>
        <v>0</v>
      </c>
      <c r="AL29" s="207">
        <f t="shared" ref="AL29:AL32" si="27">AK29*$AP$16</f>
        <v>0</v>
      </c>
    </row>
    <row r="30" spans="1:39" s="171" customFormat="1" ht="15.75" x14ac:dyDescent="0.25">
      <c r="A30" s="174" t="s">
        <v>447</v>
      </c>
      <c r="B30" s="170" t="s">
        <v>448</v>
      </c>
      <c r="C30" s="159">
        <v>351.23899999999998</v>
      </c>
      <c r="D30" s="159">
        <v>580.58900000000006</v>
      </c>
      <c r="E30" s="159">
        <f>182.367*4</f>
        <v>729.46799999999996</v>
      </c>
      <c r="F30" s="159">
        <f>E30*104.9%</f>
        <v>765.21193200000005</v>
      </c>
      <c r="G30" s="159">
        <f>F30*104%</f>
        <v>795.82040928000004</v>
      </c>
      <c r="H30" s="159">
        <f>G30*104%</f>
        <v>827.65322565120005</v>
      </c>
      <c r="I30" s="158">
        <f>C30</f>
        <v>351.23899999999998</v>
      </c>
      <c r="J30" s="158">
        <f t="shared" ref="J30:N30" si="28">D30</f>
        <v>580.58900000000006</v>
      </c>
      <c r="K30" s="158">
        <f t="shared" si="28"/>
        <v>729.46799999999996</v>
      </c>
      <c r="L30" s="158">
        <f t="shared" si="28"/>
        <v>765.21193200000005</v>
      </c>
      <c r="M30" s="158">
        <f t="shared" si="28"/>
        <v>795.82040928000004</v>
      </c>
      <c r="N30" s="158">
        <f t="shared" si="28"/>
        <v>827.65322565120005</v>
      </c>
      <c r="O30" s="158">
        <v>-28.4</v>
      </c>
      <c r="P30" s="158">
        <v>-174</v>
      </c>
      <c r="Q30" s="158"/>
      <c r="R30" s="158"/>
      <c r="S30" s="158"/>
      <c r="T30" s="158"/>
      <c r="U30" s="158">
        <v>72</v>
      </c>
      <c r="V30" s="158">
        <v>112</v>
      </c>
      <c r="W30" s="158">
        <v>97</v>
      </c>
      <c r="X30" s="158">
        <f>W30</f>
        <v>97</v>
      </c>
      <c r="Y30" s="158">
        <f t="shared" ref="Y30:Z30" si="29">X30</f>
        <v>97</v>
      </c>
      <c r="Z30" s="158">
        <f t="shared" si="29"/>
        <v>97</v>
      </c>
      <c r="AA30" s="166">
        <f t="shared" ref="AA30:AF32" si="30">AG30/U30/12*1000000</f>
        <v>67193.287037037051</v>
      </c>
      <c r="AB30" s="166">
        <f t="shared" si="30"/>
        <v>70969.494047619039</v>
      </c>
      <c r="AC30" s="166">
        <f>AI30/W30/12*1000000</f>
        <v>86369.142611683841</v>
      </c>
      <c r="AD30" s="166">
        <f t="shared" ref="AD30:AE30" si="31">AJ30/X30/12*1000000</f>
        <v>88787.478604811011</v>
      </c>
      <c r="AE30" s="166">
        <f t="shared" si="31"/>
        <v>91273.528005745713</v>
      </c>
      <c r="AF30" s="158">
        <f>AL30/Z30/12*1000000</f>
        <v>93829.186789906598</v>
      </c>
      <c r="AG30" s="158">
        <v>58.055</v>
      </c>
      <c r="AH30" s="158">
        <v>95.382999999999996</v>
      </c>
      <c r="AI30" s="207">
        <f t="shared" si="24"/>
        <v>100.533682</v>
      </c>
      <c r="AJ30" s="207">
        <f t="shared" si="25"/>
        <v>103.34862509600001</v>
      </c>
      <c r="AK30" s="207">
        <f t="shared" si="26"/>
        <v>106.24238659868801</v>
      </c>
      <c r="AL30" s="207">
        <f t="shared" si="27"/>
        <v>109.21717342345129</v>
      </c>
    </row>
    <row r="31" spans="1:39" s="171" customFormat="1" ht="15.75" x14ac:dyDescent="0.25">
      <c r="A31" s="174" t="s">
        <v>449</v>
      </c>
      <c r="B31" s="170" t="s">
        <v>442</v>
      </c>
      <c r="C31" s="158">
        <v>148.30000000000001</v>
      </c>
      <c r="D31" s="158">
        <v>297.54500000000002</v>
      </c>
      <c r="E31" s="158">
        <v>329.3</v>
      </c>
      <c r="F31" s="158">
        <v>329.3</v>
      </c>
      <c r="G31" s="158">
        <v>329.3</v>
      </c>
      <c r="H31" s="158">
        <v>329.3</v>
      </c>
      <c r="I31" s="158">
        <v>177.39</v>
      </c>
      <c r="J31" s="158">
        <v>339.12099999999998</v>
      </c>
      <c r="K31" s="158">
        <v>378.608</v>
      </c>
      <c r="L31" s="158">
        <v>378.608</v>
      </c>
      <c r="M31" s="158">
        <v>378.608</v>
      </c>
      <c r="N31" s="158">
        <v>378.608</v>
      </c>
      <c r="O31" s="158">
        <v>5.73</v>
      </c>
      <c r="P31" s="158">
        <v>10.673</v>
      </c>
      <c r="Q31" s="158">
        <v>10</v>
      </c>
      <c r="R31" s="158">
        <v>10</v>
      </c>
      <c r="S31" s="158">
        <v>10</v>
      </c>
      <c r="T31" s="158">
        <v>10</v>
      </c>
      <c r="U31" s="158">
        <v>59.7</v>
      </c>
      <c r="V31" s="158">
        <v>65</v>
      </c>
      <c r="W31" s="158">
        <v>70</v>
      </c>
      <c r="X31" s="158">
        <v>70</v>
      </c>
      <c r="Y31" s="158">
        <v>70</v>
      </c>
      <c r="Z31" s="158">
        <v>70</v>
      </c>
      <c r="AA31" s="166">
        <f>AG31/U31/12*1000000</f>
        <v>20314.070351758797</v>
      </c>
      <c r="AB31" s="166">
        <f t="shared" si="30"/>
        <v>26711.538461538465</v>
      </c>
      <c r="AC31" s="166">
        <f t="shared" si="30"/>
        <v>26190.476190476191</v>
      </c>
      <c r="AD31" s="166">
        <f t="shared" si="30"/>
        <v>26190.476190476191</v>
      </c>
      <c r="AE31" s="166">
        <f t="shared" si="30"/>
        <v>26190.476190476191</v>
      </c>
      <c r="AF31" s="158">
        <f t="shared" si="30"/>
        <v>26190.476190476191</v>
      </c>
      <c r="AG31" s="158">
        <v>14.553000000000001</v>
      </c>
      <c r="AH31" s="158">
        <v>20.835000000000001</v>
      </c>
      <c r="AI31" s="207">
        <v>22</v>
      </c>
      <c r="AJ31" s="207">
        <v>22</v>
      </c>
      <c r="AK31" s="207">
        <v>22</v>
      </c>
      <c r="AL31" s="207">
        <v>22</v>
      </c>
    </row>
    <row r="32" spans="1:39" s="171" customFormat="1" ht="15.75" x14ac:dyDescent="0.25">
      <c r="A32" s="174" t="s">
        <v>450</v>
      </c>
      <c r="B32" s="170" t="s">
        <v>442</v>
      </c>
      <c r="C32" s="158">
        <v>1.712</v>
      </c>
      <c r="D32" s="158">
        <v>2.1509999999999998</v>
      </c>
      <c r="E32" s="158">
        <v>2.1509999999999998</v>
      </c>
      <c r="F32" s="158">
        <v>2.1509999999999998</v>
      </c>
      <c r="G32" s="158">
        <v>2.1509999999999998</v>
      </c>
      <c r="H32" s="158">
        <v>2.1509999999999998</v>
      </c>
      <c r="I32" s="158">
        <f>C32</f>
        <v>1.712</v>
      </c>
      <c r="J32" s="158">
        <f t="shared" ref="J32:N32" si="32">D32</f>
        <v>2.1509999999999998</v>
      </c>
      <c r="K32" s="158">
        <f t="shared" si="32"/>
        <v>2.1509999999999998</v>
      </c>
      <c r="L32" s="158">
        <f t="shared" si="32"/>
        <v>2.1509999999999998</v>
      </c>
      <c r="M32" s="158">
        <f t="shared" si="32"/>
        <v>2.1509999999999998</v>
      </c>
      <c r="N32" s="158">
        <f t="shared" si="32"/>
        <v>2.1509999999999998</v>
      </c>
      <c r="O32" s="158">
        <v>0</v>
      </c>
      <c r="P32" s="158">
        <v>0</v>
      </c>
      <c r="Q32" s="158"/>
      <c r="R32" s="158"/>
      <c r="S32" s="158"/>
      <c r="T32" s="158"/>
      <c r="U32" s="158">
        <v>13</v>
      </c>
      <c r="V32" s="158">
        <v>13</v>
      </c>
      <c r="W32" s="158">
        <v>13</v>
      </c>
      <c r="X32" s="158">
        <v>13</v>
      </c>
      <c r="Y32" s="158">
        <v>13</v>
      </c>
      <c r="Z32" s="158">
        <v>13</v>
      </c>
      <c r="AA32" s="166">
        <f t="shared" si="30"/>
        <v>21474.358974358976</v>
      </c>
      <c r="AB32" s="166">
        <f t="shared" si="30"/>
        <v>22314.102564102563</v>
      </c>
      <c r="AC32" s="166">
        <f>AI32/W32/12*1000000</f>
        <v>23519.064102564102</v>
      </c>
      <c r="AD32" s="166">
        <f t="shared" si="30"/>
        <v>24177.597897435899</v>
      </c>
      <c r="AE32" s="166">
        <f t="shared" si="30"/>
        <v>24854.570638564106</v>
      </c>
      <c r="AF32" s="166">
        <f t="shared" si="30"/>
        <v>25550.4986164439</v>
      </c>
      <c r="AG32" s="158">
        <v>3.35</v>
      </c>
      <c r="AH32" s="158">
        <v>3.4809999999999999</v>
      </c>
      <c r="AI32" s="207">
        <f t="shared" si="24"/>
        <v>3.668974</v>
      </c>
      <c r="AJ32" s="207">
        <f t="shared" si="25"/>
        <v>3.7717052720000002</v>
      </c>
      <c r="AK32" s="207">
        <f t="shared" si="26"/>
        <v>3.8773130196160004</v>
      </c>
      <c r="AL32" s="207">
        <f t="shared" si="27"/>
        <v>3.9858777841652486</v>
      </c>
    </row>
    <row r="33" spans="1:39" s="79" customFormat="1" ht="34.5" hidden="1" customHeight="1" x14ac:dyDescent="0.2">
      <c r="A33" s="165" t="s">
        <v>451</v>
      </c>
      <c r="B33" s="157"/>
      <c r="C33" s="158"/>
      <c r="D33" s="158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66"/>
      <c r="AB33" s="166"/>
      <c r="AC33" s="166"/>
      <c r="AD33" s="166"/>
      <c r="AE33" s="166"/>
      <c r="AF33" s="158"/>
      <c r="AG33" s="167"/>
      <c r="AH33" s="167"/>
      <c r="AI33" s="167"/>
      <c r="AJ33" s="167"/>
      <c r="AK33" s="167"/>
      <c r="AL33" s="173"/>
      <c r="AM33" s="160"/>
    </row>
    <row r="34" spans="1:39" s="79" customFormat="1" ht="15.75" hidden="1" x14ac:dyDescent="0.2">
      <c r="A34" s="118" t="s">
        <v>431</v>
      </c>
      <c r="B34" s="157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66"/>
      <c r="AB34" s="166"/>
      <c r="AC34" s="166"/>
      <c r="AD34" s="166"/>
      <c r="AE34" s="166"/>
      <c r="AF34" s="158"/>
      <c r="AG34" s="167"/>
      <c r="AH34" s="167"/>
      <c r="AI34" s="167"/>
      <c r="AJ34" s="167"/>
      <c r="AK34" s="167"/>
      <c r="AL34" s="173"/>
      <c r="AM34" s="160"/>
    </row>
    <row r="35" spans="1:39" s="79" customFormat="1" ht="15.75" hidden="1" x14ac:dyDescent="0.2">
      <c r="A35" s="175"/>
      <c r="B35" s="175"/>
      <c r="C35" s="158"/>
      <c r="D35" s="158"/>
      <c r="E35" s="158"/>
      <c r="F35" s="158"/>
      <c r="G35" s="158"/>
      <c r="H35" s="158"/>
      <c r="I35" s="158"/>
      <c r="J35" s="158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66"/>
      <c r="AB35" s="166"/>
      <c r="AC35" s="166"/>
      <c r="AD35" s="166"/>
      <c r="AE35" s="166"/>
      <c r="AF35" s="158"/>
      <c r="AG35" s="167"/>
      <c r="AH35" s="167"/>
      <c r="AI35" s="167"/>
      <c r="AJ35" s="167"/>
      <c r="AK35" s="167"/>
      <c r="AL35" s="173"/>
      <c r="AM35" s="160"/>
    </row>
    <row r="36" spans="1:39" s="79" customFormat="1" ht="15.75" hidden="1" customHeight="1" x14ac:dyDescent="0.2">
      <c r="A36" s="118"/>
      <c r="B36" s="157"/>
      <c r="C36" s="158"/>
      <c r="D36" s="158"/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66"/>
      <c r="AB36" s="166"/>
      <c r="AC36" s="166"/>
      <c r="AD36" s="166"/>
      <c r="AE36" s="166"/>
      <c r="AF36" s="158"/>
      <c r="AG36" s="167"/>
      <c r="AH36" s="167"/>
      <c r="AI36" s="167"/>
      <c r="AJ36" s="167"/>
      <c r="AK36" s="167"/>
      <c r="AL36" s="173"/>
      <c r="AM36" s="160"/>
    </row>
    <row r="37" spans="1:39" s="79" customFormat="1" ht="63" hidden="1" x14ac:dyDescent="0.2">
      <c r="A37" s="165" t="s">
        <v>452</v>
      </c>
      <c r="B37" s="157"/>
      <c r="C37" s="158"/>
      <c r="D37" s="158"/>
      <c r="E37" s="158"/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66"/>
      <c r="AB37" s="166"/>
      <c r="AC37" s="166"/>
      <c r="AD37" s="166"/>
      <c r="AE37" s="166"/>
      <c r="AF37" s="158"/>
      <c r="AG37" s="167"/>
      <c r="AH37" s="167"/>
      <c r="AI37" s="167"/>
      <c r="AJ37" s="167"/>
      <c r="AK37" s="167"/>
      <c r="AL37" s="173"/>
      <c r="AM37" s="160"/>
    </row>
    <row r="38" spans="1:39" s="79" customFormat="1" ht="15.75" hidden="1" x14ac:dyDescent="0.2">
      <c r="A38" s="118" t="s">
        <v>431</v>
      </c>
      <c r="B38" s="157"/>
      <c r="C38" s="158"/>
      <c r="D38" s="158"/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66"/>
      <c r="AB38" s="166"/>
      <c r="AC38" s="166"/>
      <c r="AD38" s="166"/>
      <c r="AE38" s="166"/>
      <c r="AF38" s="158"/>
      <c r="AG38" s="167"/>
      <c r="AH38" s="167"/>
      <c r="AI38" s="167"/>
      <c r="AJ38" s="167"/>
      <c r="AK38" s="167"/>
      <c r="AL38" s="173"/>
      <c r="AM38" s="160"/>
    </row>
    <row r="39" spans="1:39" s="79" customFormat="1" ht="15.75" hidden="1" x14ac:dyDescent="0.2">
      <c r="A39" s="176"/>
      <c r="B39" s="177"/>
      <c r="C39" s="158"/>
      <c r="D39" s="158"/>
      <c r="E39" s="158"/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66"/>
      <c r="AB39" s="166"/>
      <c r="AC39" s="166"/>
      <c r="AD39" s="166"/>
      <c r="AE39" s="166"/>
      <c r="AF39" s="158"/>
      <c r="AG39" s="167"/>
      <c r="AH39" s="167"/>
      <c r="AI39" s="167"/>
      <c r="AJ39" s="167"/>
      <c r="AK39" s="167"/>
      <c r="AL39" s="173"/>
      <c r="AM39" s="160"/>
    </row>
    <row r="40" spans="1:39" s="79" customFormat="1" ht="15.75" hidden="1" customHeight="1" x14ac:dyDescent="0.2">
      <c r="A40" s="178"/>
      <c r="B40" s="179"/>
      <c r="C40" s="158"/>
      <c r="D40" s="158"/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66"/>
      <c r="AB40" s="166"/>
      <c r="AC40" s="166"/>
      <c r="AD40" s="166"/>
      <c r="AE40" s="166"/>
      <c r="AF40" s="158"/>
      <c r="AG40" s="167"/>
      <c r="AH40" s="167"/>
      <c r="AI40" s="167"/>
      <c r="AJ40" s="167"/>
      <c r="AK40" s="167"/>
      <c r="AL40" s="173"/>
      <c r="AM40" s="160"/>
    </row>
    <row r="41" spans="1:39" s="171" customFormat="1" ht="16.5" customHeight="1" x14ac:dyDescent="0.2">
      <c r="A41" s="165"/>
      <c r="B41" s="170"/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66"/>
      <c r="AB41" s="166"/>
      <c r="AC41" s="166"/>
      <c r="AD41" s="166"/>
      <c r="AE41" s="166"/>
      <c r="AF41" s="158"/>
      <c r="AG41" s="158"/>
      <c r="AH41" s="158"/>
      <c r="AI41" s="158"/>
      <c r="AJ41" s="158"/>
      <c r="AK41" s="158"/>
      <c r="AL41" s="172"/>
    </row>
    <row r="42" spans="1:39" s="227" customFormat="1" ht="93.75" x14ac:dyDescent="0.25">
      <c r="A42" s="333" t="s">
        <v>147</v>
      </c>
      <c r="B42" s="328"/>
      <c r="C42" s="319">
        <f>'Прогноз 2024-2026 '!C16</f>
        <v>798.11699999999996</v>
      </c>
      <c r="D42" s="319">
        <f>'Прогноз 2024-2026 '!D16</f>
        <v>721.005</v>
      </c>
      <c r="E42" s="319">
        <f>'Прогноз 2024-2026 '!E16</f>
        <v>770.03334000000007</v>
      </c>
      <c r="F42" s="319">
        <f>'Прогноз 2024-2026 '!G16</f>
        <v>803.14477362000002</v>
      </c>
      <c r="G42" s="319">
        <f>'Прогноз 2024-2026 '!H16</f>
        <v>837.67999888565998</v>
      </c>
      <c r="H42" s="319">
        <f>'Прогноз 2024-2026 '!I16</f>
        <v>872.86255883885769</v>
      </c>
      <c r="I42" s="319">
        <f>C42</f>
        <v>798.11699999999996</v>
      </c>
      <c r="J42" s="319">
        <f t="shared" ref="J42:N42" si="33">D42</f>
        <v>721.005</v>
      </c>
      <c r="K42" s="319">
        <f t="shared" si="33"/>
        <v>770.03334000000007</v>
      </c>
      <c r="L42" s="319">
        <f t="shared" si="33"/>
        <v>803.14477362000002</v>
      </c>
      <c r="M42" s="319">
        <f t="shared" si="33"/>
        <v>837.67999888565998</v>
      </c>
      <c r="N42" s="319">
        <f t="shared" si="33"/>
        <v>872.86255883885769</v>
      </c>
      <c r="O42" s="328">
        <f>SUM(O44:O48)</f>
        <v>53.595000000000006</v>
      </c>
      <c r="P42" s="328">
        <f t="shared" ref="P42:T42" si="34">SUM(P44:P48)</f>
        <v>52.7</v>
      </c>
      <c r="Q42" s="328">
        <f t="shared" si="34"/>
        <v>30.384</v>
      </c>
      <c r="R42" s="328">
        <f t="shared" si="34"/>
        <v>30.399000000000001</v>
      </c>
      <c r="S42" s="328">
        <f t="shared" si="34"/>
        <v>30.414999999999999</v>
      </c>
      <c r="T42" s="328">
        <f t="shared" si="34"/>
        <v>30.431000000000001</v>
      </c>
      <c r="U42" s="328">
        <v>598</v>
      </c>
      <c r="V42" s="328">
        <v>585</v>
      </c>
      <c r="W42" s="328">
        <v>585</v>
      </c>
      <c r="X42" s="328">
        <v>585</v>
      </c>
      <c r="Y42" s="328">
        <v>585</v>
      </c>
      <c r="Z42" s="328">
        <v>585</v>
      </c>
      <c r="AA42" s="319">
        <f>'[2]Прогноз 2022-2024 '!C131</f>
        <v>34687.800000000003</v>
      </c>
      <c r="AB42" s="319">
        <f>'[2]Прогноз 2022-2024 '!D131</f>
        <v>37014.800000000003</v>
      </c>
      <c r="AC42" s="319">
        <f>'[2]Прогноз 2022-2024 '!E131</f>
        <v>35645.252400000005</v>
      </c>
      <c r="AD42" s="319">
        <f>'[2]Прогноз 2022-2024 '!F131</f>
        <v>34397.668566</v>
      </c>
      <c r="AE42" s="319">
        <f>'[2]Прогноз 2022-2024 '!H131</f>
        <v>36038.2056624576</v>
      </c>
      <c r="AF42" s="328">
        <f>'[2]Прогноз 2022-2024 '!I131</f>
        <v>36434.625924744629</v>
      </c>
      <c r="AG42" s="319">
        <f>U42*AA42*12/1000000</f>
        <v>248.91965280000002</v>
      </c>
      <c r="AH42" s="319">
        <f t="shared" ref="AH42:AL42" si="35">V42*AB42*12/1000000</f>
        <v>259.84389599999997</v>
      </c>
      <c r="AI42" s="319">
        <f t="shared" si="35"/>
        <v>250.22967184800004</v>
      </c>
      <c r="AJ42" s="319">
        <f t="shared" si="35"/>
        <v>241.47163333332003</v>
      </c>
      <c r="AK42" s="319">
        <f t="shared" si="35"/>
        <v>252.98820375045233</v>
      </c>
      <c r="AL42" s="319">
        <f t="shared" si="35"/>
        <v>255.77107399170728</v>
      </c>
    </row>
    <row r="43" spans="1:39" s="79" customFormat="1" x14ac:dyDescent="0.2">
      <c r="A43" s="336" t="s">
        <v>431</v>
      </c>
      <c r="B43" s="337"/>
      <c r="C43" s="324"/>
      <c r="D43" s="324"/>
      <c r="E43" s="324"/>
      <c r="F43" s="324"/>
      <c r="G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324"/>
      <c r="W43" s="324"/>
      <c r="X43" s="324"/>
      <c r="Y43" s="324"/>
      <c r="Z43" s="324"/>
      <c r="AA43" s="338"/>
      <c r="AB43" s="338"/>
      <c r="AC43" s="338"/>
      <c r="AD43" s="338"/>
      <c r="AE43" s="338"/>
      <c r="AF43" s="324"/>
      <c r="AG43" s="338"/>
      <c r="AH43" s="338"/>
      <c r="AI43" s="338"/>
      <c r="AJ43" s="338"/>
      <c r="AK43" s="338"/>
      <c r="AL43" s="339"/>
    </row>
    <row r="44" spans="1:39" s="171" customFormat="1" ht="15.75" x14ac:dyDescent="0.25">
      <c r="A44" s="174" t="s">
        <v>453</v>
      </c>
      <c r="B44" s="170" t="s">
        <v>454</v>
      </c>
      <c r="C44" s="158">
        <v>3.5259999999999998</v>
      </c>
      <c r="D44" s="158">
        <v>7.798</v>
      </c>
      <c r="E44" s="158">
        <v>8.577</v>
      </c>
      <c r="F44" s="158">
        <v>8.92</v>
      </c>
      <c r="G44" s="158">
        <v>9.2769999999999992</v>
      </c>
      <c r="H44" s="158">
        <v>9.6489999999999991</v>
      </c>
      <c r="I44" s="158">
        <v>2.5590000000000002</v>
      </c>
      <c r="J44" s="158">
        <v>2.9060000000000001</v>
      </c>
      <c r="K44" s="158">
        <v>3.1970000000000001</v>
      </c>
      <c r="L44" s="158">
        <v>3.3239999999999998</v>
      </c>
      <c r="M44" s="158">
        <v>3.4569999999999999</v>
      </c>
      <c r="N44" s="158">
        <v>3.5960000000000001</v>
      </c>
      <c r="O44" s="158">
        <v>-1.2509999999999999</v>
      </c>
      <c r="P44" s="158">
        <v>-4.8920000000000003</v>
      </c>
      <c r="Q44" s="158">
        <v>-5.3810000000000002</v>
      </c>
      <c r="R44" s="158">
        <v>-5.5960000000000001</v>
      </c>
      <c r="S44" s="158">
        <v>-5.82</v>
      </c>
      <c r="T44" s="158">
        <v>-6.0529999999999999</v>
      </c>
      <c r="U44" s="158">
        <v>3.5</v>
      </c>
      <c r="V44" s="158">
        <v>15</v>
      </c>
      <c r="W44" s="158">
        <v>15</v>
      </c>
      <c r="X44" s="158">
        <v>15</v>
      </c>
      <c r="Y44" s="158">
        <v>15</v>
      </c>
      <c r="Z44" s="158">
        <v>15</v>
      </c>
      <c r="AA44" s="166">
        <f t="shared" ref="AA44:AF48" si="36">AG44/U44/12*1000000</f>
        <v>34428.571428571428</v>
      </c>
      <c r="AB44" s="166">
        <f t="shared" si="36"/>
        <v>23622.222222222223</v>
      </c>
      <c r="AC44" s="166">
        <f t="shared" si="36"/>
        <v>27522.222222222223</v>
      </c>
      <c r="AD44" s="166">
        <f>AJ44/X44/12*1000000</f>
        <v>28622.222222222226</v>
      </c>
      <c r="AE44" s="166">
        <f t="shared" si="36"/>
        <v>29766.666666666664</v>
      </c>
      <c r="AF44" s="158">
        <f t="shared" si="36"/>
        <v>30961.111111111117</v>
      </c>
      <c r="AG44" s="166">
        <v>1.446</v>
      </c>
      <c r="AH44" s="166">
        <v>4.2519999999999998</v>
      </c>
      <c r="AI44" s="166">
        <v>4.9539999999999997</v>
      </c>
      <c r="AJ44" s="166">
        <v>5.1520000000000001</v>
      </c>
      <c r="AK44" s="166">
        <v>5.3579999999999997</v>
      </c>
      <c r="AL44" s="166">
        <v>5.5730000000000004</v>
      </c>
    </row>
    <row r="45" spans="1:39" s="171" customFormat="1" ht="15.75" x14ac:dyDescent="0.25">
      <c r="A45" s="174" t="s">
        <v>455</v>
      </c>
      <c r="B45" s="170" t="s">
        <v>438</v>
      </c>
      <c r="C45" s="158">
        <v>47.735999999999997</v>
      </c>
      <c r="D45" s="158">
        <v>71.507000000000005</v>
      </c>
      <c r="E45" s="158">
        <v>78.658000000000001</v>
      </c>
      <c r="F45" s="158">
        <v>81.804000000000002</v>
      </c>
      <c r="G45" s="158">
        <v>85.075999999999993</v>
      </c>
      <c r="H45" s="158">
        <v>88.478999999999999</v>
      </c>
      <c r="I45" s="158">
        <v>48.969000000000001</v>
      </c>
      <c r="J45" s="158">
        <v>48.802999999999997</v>
      </c>
      <c r="K45" s="158">
        <v>53.683</v>
      </c>
      <c r="L45" s="158">
        <v>55.831000000000003</v>
      </c>
      <c r="M45" s="158">
        <v>58.064</v>
      </c>
      <c r="N45" s="158">
        <v>60.386000000000003</v>
      </c>
      <c r="O45" s="158">
        <v>1.2330000000000001</v>
      </c>
      <c r="P45" s="158">
        <v>22.704000000000001</v>
      </c>
      <c r="Q45" s="158">
        <v>1.0109999999999999</v>
      </c>
      <c r="R45" s="158">
        <v>1.0509999999999999</v>
      </c>
      <c r="S45" s="158">
        <v>1.093</v>
      </c>
      <c r="T45" s="158">
        <v>1.137</v>
      </c>
      <c r="U45" s="158">
        <v>8</v>
      </c>
      <c r="V45" s="158">
        <v>6</v>
      </c>
      <c r="W45" s="158">
        <v>36</v>
      </c>
      <c r="X45" s="158">
        <v>36</v>
      </c>
      <c r="Y45" s="158">
        <v>36</v>
      </c>
      <c r="Z45" s="158">
        <v>36</v>
      </c>
      <c r="AA45" s="166">
        <f t="shared" si="36"/>
        <v>46697.916666666664</v>
      </c>
      <c r="AB45" s="166">
        <f>AH45/V45/12*1000000</f>
        <v>45111.111111111109</v>
      </c>
      <c r="AC45" s="166">
        <f>AI45/W45/12*1000000</f>
        <v>29539.351851851847</v>
      </c>
      <c r="AD45" s="166">
        <f>AJ45/X45/12*1000000</f>
        <v>30722.222222222223</v>
      </c>
      <c r="AE45" s="166">
        <f>AK45/Y45/12*1000000</f>
        <v>31951.388888888891</v>
      </c>
      <c r="AF45" s="158">
        <f>AL45/Z45/12*1000000</f>
        <v>33229.166666666664</v>
      </c>
      <c r="AG45" s="166">
        <v>4.4829999999999997</v>
      </c>
      <c r="AH45" s="166">
        <v>3.2480000000000002</v>
      </c>
      <c r="AI45" s="166">
        <v>12.760999999999999</v>
      </c>
      <c r="AJ45" s="166">
        <v>13.272</v>
      </c>
      <c r="AK45" s="166">
        <v>13.803000000000001</v>
      </c>
      <c r="AL45" s="166">
        <v>14.355</v>
      </c>
    </row>
    <row r="46" spans="1:39" s="171" customFormat="1" ht="15.75" x14ac:dyDescent="0.25">
      <c r="A46" s="174" t="s">
        <v>456</v>
      </c>
      <c r="B46" s="170" t="s">
        <v>436</v>
      </c>
      <c r="C46" s="158">
        <v>222.142</v>
      </c>
      <c r="D46" s="158">
        <v>265.98</v>
      </c>
      <c r="E46" s="158">
        <v>292.57799999999997</v>
      </c>
      <c r="F46" s="158">
        <v>304.28100000000001</v>
      </c>
      <c r="G46" s="158">
        <v>316.452</v>
      </c>
      <c r="H46" s="158">
        <v>329.11</v>
      </c>
      <c r="I46" s="158">
        <v>173.29300000000001</v>
      </c>
      <c r="J46" s="158">
        <v>222.19300000000001</v>
      </c>
      <c r="K46" s="158">
        <v>244.41200000000001</v>
      </c>
      <c r="L46" s="158">
        <v>254.18899999999999</v>
      </c>
      <c r="M46" s="158">
        <v>264.35599999999999</v>
      </c>
      <c r="N46" s="158">
        <v>274.93</v>
      </c>
      <c r="O46" s="158">
        <v>1.413</v>
      </c>
      <c r="P46" s="158">
        <v>4.3220000000000001</v>
      </c>
      <c r="Q46" s="158">
        <v>4.7539999999999996</v>
      </c>
      <c r="R46" s="158">
        <v>4.944</v>
      </c>
      <c r="S46" s="158">
        <v>5.1420000000000003</v>
      </c>
      <c r="T46" s="158">
        <v>5.3470000000000004</v>
      </c>
      <c r="U46" s="158">
        <v>12</v>
      </c>
      <c r="V46" s="158">
        <v>38.299999999999997</v>
      </c>
      <c r="W46" s="158">
        <v>59</v>
      </c>
      <c r="X46" s="158">
        <v>60</v>
      </c>
      <c r="Y46" s="158">
        <v>60</v>
      </c>
      <c r="Z46" s="158">
        <v>60</v>
      </c>
      <c r="AA46" s="166">
        <f t="shared" si="36"/>
        <v>60000.000000000007</v>
      </c>
      <c r="AB46" s="166">
        <f t="shared" si="36"/>
        <v>46827.676240208872</v>
      </c>
      <c r="AC46" s="166">
        <f t="shared" si="36"/>
        <v>46829.096045197744</v>
      </c>
      <c r="AD46" s="166">
        <f t="shared" si="36"/>
        <v>47890.277777777774</v>
      </c>
      <c r="AE46" s="166">
        <f t="shared" si="36"/>
        <v>49805.555555555555</v>
      </c>
      <c r="AF46" s="158">
        <f t="shared" si="36"/>
        <v>51798.611111111117</v>
      </c>
      <c r="AG46" s="166">
        <v>8.64</v>
      </c>
      <c r="AH46" s="166">
        <v>21.521999999999998</v>
      </c>
      <c r="AI46" s="166">
        <v>33.155000000000001</v>
      </c>
      <c r="AJ46" s="166">
        <v>34.481000000000002</v>
      </c>
      <c r="AK46" s="166">
        <v>35.86</v>
      </c>
      <c r="AL46" s="166">
        <v>37.295000000000002</v>
      </c>
    </row>
    <row r="47" spans="1:39" s="171" customFormat="1" ht="15.75" x14ac:dyDescent="0.25">
      <c r="A47" s="183" t="s">
        <v>516</v>
      </c>
      <c r="B47" s="180" t="s">
        <v>442</v>
      </c>
      <c r="C47" s="162">
        <v>0</v>
      </c>
      <c r="D47" s="162">
        <v>41.362000000000002</v>
      </c>
      <c r="E47" s="162">
        <v>83.724999999999994</v>
      </c>
      <c r="F47" s="162">
        <v>85</v>
      </c>
      <c r="G47" s="162">
        <v>85</v>
      </c>
      <c r="H47" s="162">
        <v>85</v>
      </c>
      <c r="I47" s="162">
        <f>C47</f>
        <v>0</v>
      </c>
      <c r="J47" s="162">
        <f t="shared" ref="J47" si="37">D47</f>
        <v>41.362000000000002</v>
      </c>
      <c r="K47" s="162">
        <f t="shared" ref="K47" si="38">E47</f>
        <v>83.724999999999994</v>
      </c>
      <c r="L47" s="162">
        <f t="shared" ref="L47" si="39">F47</f>
        <v>85</v>
      </c>
      <c r="M47" s="162">
        <f t="shared" ref="M47" si="40">G47</f>
        <v>85</v>
      </c>
      <c r="N47" s="162">
        <f t="shared" ref="N47" si="41">H47</f>
        <v>85</v>
      </c>
      <c r="O47" s="162">
        <v>0</v>
      </c>
      <c r="P47" s="162">
        <v>0</v>
      </c>
      <c r="Q47" s="162">
        <v>0</v>
      </c>
      <c r="R47" s="162">
        <v>0</v>
      </c>
      <c r="S47" s="162">
        <v>0</v>
      </c>
      <c r="T47" s="162">
        <v>0</v>
      </c>
      <c r="U47" s="162">
        <v>53</v>
      </c>
      <c r="V47" s="162">
        <v>53</v>
      </c>
      <c r="W47" s="162">
        <v>53</v>
      </c>
      <c r="X47" s="162">
        <v>53</v>
      </c>
      <c r="Y47" s="162">
        <v>53</v>
      </c>
      <c r="Z47" s="162">
        <v>53</v>
      </c>
      <c r="AA47" s="181">
        <f>AG47/U47/12*1000000</f>
        <v>0</v>
      </c>
      <c r="AB47" s="181">
        <f>AH47/V47/12*1000000</f>
        <v>13092.767295597483</v>
      </c>
      <c r="AC47" s="181">
        <f t="shared" ref="AC47" si="42">AI47/W47/12*1000000</f>
        <v>29874.213836477986</v>
      </c>
      <c r="AD47" s="181">
        <f t="shared" ref="AD47" si="43">AJ47/X47/12*1000000</f>
        <v>31446.540880503144</v>
      </c>
      <c r="AE47" s="181">
        <f t="shared" ref="AE47" si="44">AK47/Y47/12*1000000</f>
        <v>31446.540880503144</v>
      </c>
      <c r="AF47" s="162">
        <f>AL47/Z47/12*1000000</f>
        <v>31446.540880503144</v>
      </c>
      <c r="AG47" s="181">
        <v>0</v>
      </c>
      <c r="AH47" s="181">
        <v>8.327</v>
      </c>
      <c r="AI47" s="166">
        <v>19</v>
      </c>
      <c r="AJ47" s="166">
        <v>20</v>
      </c>
      <c r="AK47" s="166">
        <v>20</v>
      </c>
      <c r="AL47" s="166">
        <v>20</v>
      </c>
    </row>
    <row r="48" spans="1:39" s="171" customFormat="1" ht="15.75" x14ac:dyDescent="0.25">
      <c r="A48" s="183" t="s">
        <v>457</v>
      </c>
      <c r="B48" s="180" t="s">
        <v>442</v>
      </c>
      <c r="C48" s="162">
        <v>270.25900000000001</v>
      </c>
      <c r="D48" s="162">
        <v>269.62</v>
      </c>
      <c r="E48" s="162">
        <v>265</v>
      </c>
      <c r="F48" s="162">
        <v>270</v>
      </c>
      <c r="G48" s="162">
        <v>280</v>
      </c>
      <c r="H48" s="162">
        <v>280</v>
      </c>
      <c r="I48" s="162">
        <f>C48</f>
        <v>270.25900000000001</v>
      </c>
      <c r="J48" s="162">
        <f t="shared" ref="J48:N49" si="45">D48</f>
        <v>269.62</v>
      </c>
      <c r="K48" s="162">
        <f t="shared" si="45"/>
        <v>265</v>
      </c>
      <c r="L48" s="162">
        <f t="shared" si="45"/>
        <v>270</v>
      </c>
      <c r="M48" s="162">
        <f t="shared" si="45"/>
        <v>280</v>
      </c>
      <c r="N48" s="162">
        <f t="shared" si="45"/>
        <v>280</v>
      </c>
      <c r="O48" s="162">
        <v>52.2</v>
      </c>
      <c r="P48" s="162">
        <v>30.565999999999999</v>
      </c>
      <c r="Q48" s="162">
        <v>30</v>
      </c>
      <c r="R48" s="162">
        <v>30</v>
      </c>
      <c r="S48" s="162">
        <v>30</v>
      </c>
      <c r="T48" s="162">
        <v>30</v>
      </c>
      <c r="U48" s="162">
        <v>163</v>
      </c>
      <c r="V48" s="162">
        <v>164</v>
      </c>
      <c r="W48" s="162">
        <v>164</v>
      </c>
      <c r="X48" s="162">
        <v>164</v>
      </c>
      <c r="Y48" s="162">
        <v>164</v>
      </c>
      <c r="Z48" s="162">
        <v>164</v>
      </c>
      <c r="AA48" s="181">
        <f>AG48/U48/12*1000000</f>
        <v>43796.012269938648</v>
      </c>
      <c r="AB48" s="181">
        <f t="shared" si="36"/>
        <v>45887.195121951219</v>
      </c>
      <c r="AC48" s="181">
        <f t="shared" si="36"/>
        <v>48365.103658536587</v>
      </c>
      <c r="AD48" s="181">
        <f t="shared" si="36"/>
        <v>49719.326560975605</v>
      </c>
      <c r="AE48" s="181">
        <f t="shared" si="36"/>
        <v>51111.467704682924</v>
      </c>
      <c r="AF48" s="162">
        <f>AL48/Z48/12*1000000</f>
        <v>52542.588800414051</v>
      </c>
      <c r="AG48" s="181">
        <v>85.665000000000006</v>
      </c>
      <c r="AH48" s="181">
        <v>90.305999999999997</v>
      </c>
      <c r="AI48" s="166">
        <f t="shared" ref="AI48" si="46">AH48*$AM$16</f>
        <v>95.182524000000001</v>
      </c>
      <c r="AJ48" s="166">
        <f t="shared" ref="AJ48" si="47">AI48*$AN$16</f>
        <v>97.847634671999998</v>
      </c>
      <c r="AK48" s="166">
        <f t="shared" ref="AK48" si="48">AJ48*$AO$16</f>
        <v>100.587368442816</v>
      </c>
      <c r="AL48" s="166">
        <f t="shared" ref="AL48" si="49">AK48*$AP$16</f>
        <v>103.40381475921485</v>
      </c>
    </row>
    <row r="49" spans="1:38" s="227" customFormat="1" ht="131.25" x14ac:dyDescent="0.25">
      <c r="A49" s="333" t="s">
        <v>149</v>
      </c>
      <c r="B49" s="328"/>
      <c r="C49" s="319">
        <f>'Прогноз 2024-2026 '!C17</f>
        <v>107.93</v>
      </c>
      <c r="D49" s="319">
        <f>'Прогноз 2024-2026 '!D17</f>
        <v>131.13499999999999</v>
      </c>
      <c r="E49" s="319">
        <f>'Прогноз 2024-2026 '!E17</f>
        <v>137.03607499999998</v>
      </c>
      <c r="F49" s="319">
        <f>'Прогноз 2024-2026 '!G17</f>
        <v>143.33973444999998</v>
      </c>
      <c r="G49" s="319">
        <f>'Прогноз 2024-2026 '!H17</f>
        <v>149.36000329689998</v>
      </c>
      <c r="H49" s="319">
        <f>'Прогноз 2024-2026 '!I17</f>
        <v>155.48376343207286</v>
      </c>
      <c r="I49" s="319">
        <f>C49</f>
        <v>107.93</v>
      </c>
      <c r="J49" s="319">
        <f>D49</f>
        <v>131.13499999999999</v>
      </c>
      <c r="K49" s="319">
        <f t="shared" si="45"/>
        <v>137.03607499999998</v>
      </c>
      <c r="L49" s="319">
        <f t="shared" si="45"/>
        <v>143.33973444999998</v>
      </c>
      <c r="M49" s="319">
        <f t="shared" si="45"/>
        <v>149.36000329689998</v>
      </c>
      <c r="N49" s="319">
        <f t="shared" si="45"/>
        <v>155.48376343207286</v>
      </c>
      <c r="O49" s="328">
        <f>SUM(O51:O53)</f>
        <v>-48.239999999999995</v>
      </c>
      <c r="P49" s="328">
        <f t="shared" ref="P49:T49" si="50">SUM(P51:P53)</f>
        <v>6.0979999999999999</v>
      </c>
      <c r="Q49" s="328">
        <f t="shared" si="50"/>
        <v>0.83599999999999997</v>
      </c>
      <c r="R49" s="328">
        <f t="shared" si="50"/>
        <v>0</v>
      </c>
      <c r="S49" s="328">
        <f t="shared" si="50"/>
        <v>0</v>
      </c>
      <c r="T49" s="328">
        <f t="shared" si="50"/>
        <v>0</v>
      </c>
      <c r="U49" s="328">
        <v>96</v>
      </c>
      <c r="V49" s="328">
        <v>107</v>
      </c>
      <c r="W49" s="328">
        <v>107</v>
      </c>
      <c r="X49" s="328">
        <v>107</v>
      </c>
      <c r="Y49" s="328">
        <v>107</v>
      </c>
      <c r="Z49" s="328">
        <v>107</v>
      </c>
      <c r="AA49" s="319">
        <f>'[2]Прогноз 2022-2024 '!C132</f>
        <v>27322</v>
      </c>
      <c r="AB49" s="319">
        <f>'[2]Прогноз 2022-2024 '!D132</f>
        <v>31367.200000000001</v>
      </c>
      <c r="AC49" s="319">
        <f>'[2]Прогноз 2022-2024 '!E132</f>
        <v>30206.613600000001</v>
      </c>
      <c r="AD49" s="319">
        <f>'[2]Прогноз 2022-2024 '!F132</f>
        <v>29149.382124</v>
      </c>
      <c r="AE49" s="319">
        <f>'[2]Прогноз 2022-2024 '!H132</f>
        <v>30539.611308326395</v>
      </c>
      <c r="AF49" s="328">
        <f>'[2]Прогноз 2022-2024 '!I132</f>
        <v>30875.547032717983</v>
      </c>
      <c r="AG49" s="319">
        <f>U49*AA49*12/1000000</f>
        <v>31.474944000000001</v>
      </c>
      <c r="AH49" s="319">
        <f t="shared" ref="AH49:AL49" si="51">V49*AB49*12/1000000</f>
        <v>40.275484799999994</v>
      </c>
      <c r="AI49" s="319">
        <f t="shared" si="51"/>
        <v>38.785291862399994</v>
      </c>
      <c r="AJ49" s="319">
        <f t="shared" si="51"/>
        <v>37.427806647216002</v>
      </c>
      <c r="AK49" s="319">
        <f t="shared" si="51"/>
        <v>39.212860919891092</v>
      </c>
      <c r="AL49" s="319">
        <f t="shared" si="51"/>
        <v>39.644202390009887</v>
      </c>
    </row>
    <row r="50" spans="1:38" s="79" customFormat="1" x14ac:dyDescent="0.2">
      <c r="A50" s="336" t="s">
        <v>431</v>
      </c>
      <c r="B50" s="337"/>
      <c r="C50" s="324"/>
      <c r="D50" s="324"/>
      <c r="E50" s="324"/>
      <c r="F50" s="324"/>
      <c r="G50" s="324"/>
      <c r="H50" s="324"/>
      <c r="I50" s="324"/>
      <c r="J50" s="324"/>
      <c r="K50" s="324"/>
      <c r="L50" s="324"/>
      <c r="M50" s="324"/>
      <c r="N50" s="324"/>
      <c r="O50" s="324"/>
      <c r="P50" s="324"/>
      <c r="Q50" s="324"/>
      <c r="R50" s="324"/>
      <c r="S50" s="324"/>
      <c r="T50" s="324"/>
      <c r="U50" s="324"/>
      <c r="V50" s="324"/>
      <c r="W50" s="324"/>
      <c r="X50" s="324"/>
      <c r="Y50" s="324"/>
      <c r="Z50" s="324"/>
      <c r="AA50" s="338"/>
      <c r="AB50" s="338"/>
      <c r="AC50" s="338"/>
      <c r="AD50" s="338"/>
      <c r="AE50" s="338"/>
      <c r="AF50" s="324"/>
      <c r="AG50" s="338"/>
      <c r="AH50" s="338"/>
      <c r="AI50" s="338"/>
      <c r="AJ50" s="338"/>
      <c r="AK50" s="338"/>
      <c r="AL50" s="339"/>
    </row>
    <row r="51" spans="1:38" s="171" customFormat="1" ht="15.75" hidden="1" x14ac:dyDescent="0.25">
      <c r="A51" s="174"/>
      <c r="B51" s="170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66"/>
      <c r="AB51" s="166"/>
      <c r="AC51" s="166"/>
      <c r="AD51" s="166"/>
      <c r="AE51" s="166"/>
      <c r="AF51" s="158"/>
      <c r="AG51" s="166"/>
      <c r="AH51" s="166"/>
      <c r="AI51" s="166"/>
      <c r="AJ51" s="166"/>
      <c r="AK51" s="166"/>
      <c r="AL51" s="166"/>
    </row>
    <row r="52" spans="1:38" s="171" customFormat="1" ht="15.75" x14ac:dyDescent="0.25">
      <c r="A52" s="174" t="s">
        <v>458</v>
      </c>
      <c r="B52" s="170" t="s">
        <v>442</v>
      </c>
      <c r="C52" s="158">
        <v>98.980999999999995</v>
      </c>
      <c r="D52" s="158">
        <f>46.145+21.651</f>
        <v>67.796000000000006</v>
      </c>
      <c r="E52" s="158">
        <f>9.525*4</f>
        <v>38.1</v>
      </c>
      <c r="F52" s="158">
        <f>E52*97.3%</f>
        <v>37.071300000000001</v>
      </c>
      <c r="G52" s="158">
        <f>F52*101.7%</f>
        <v>37.701512100000002</v>
      </c>
      <c r="H52" s="158">
        <f>G52*101.5%</f>
        <v>38.267034781500001</v>
      </c>
      <c r="I52" s="158">
        <f>C52</f>
        <v>98.980999999999995</v>
      </c>
      <c r="J52" s="158">
        <f t="shared" ref="J52:M52" si="52">D52</f>
        <v>67.796000000000006</v>
      </c>
      <c r="K52" s="158">
        <f t="shared" si="52"/>
        <v>38.1</v>
      </c>
      <c r="L52" s="158">
        <f t="shared" si="52"/>
        <v>37.071300000000001</v>
      </c>
      <c r="M52" s="158">
        <f t="shared" si="52"/>
        <v>37.701512100000002</v>
      </c>
      <c r="N52" s="158">
        <f>H52</f>
        <v>38.267034781500001</v>
      </c>
      <c r="O52" s="158">
        <v>-48.985999999999997</v>
      </c>
      <c r="P52" s="158">
        <f>3.464+1.092</f>
        <v>4.556</v>
      </c>
      <c r="Q52" s="158">
        <f>0.209*4</f>
        <v>0.83599999999999997</v>
      </c>
      <c r="R52" s="158"/>
      <c r="S52" s="158"/>
      <c r="T52" s="158"/>
      <c r="U52" s="158">
        <v>149</v>
      </c>
      <c r="V52" s="158">
        <v>75</v>
      </c>
      <c r="W52" s="158">
        <v>75</v>
      </c>
      <c r="X52" s="158">
        <f>W52</f>
        <v>75</v>
      </c>
      <c r="Y52" s="158">
        <f t="shared" ref="Y52:Z52" si="53">X52</f>
        <v>75</v>
      </c>
      <c r="Z52" s="158">
        <f t="shared" si="53"/>
        <v>75</v>
      </c>
      <c r="AA52" s="166">
        <f t="shared" ref="AA52:AF53" si="54">AG52/U52/12*1000000</f>
        <v>25109.619686800892</v>
      </c>
      <c r="AB52" s="166">
        <f t="shared" si="54"/>
        <v>11447.777777777779</v>
      </c>
      <c r="AC52" s="166">
        <f t="shared" si="54"/>
        <v>12065.957777777779</v>
      </c>
      <c r="AD52" s="166">
        <f>AJ52/X52/12*1000000</f>
        <v>12403.804595555559</v>
      </c>
      <c r="AE52" s="166">
        <f t="shared" si="54"/>
        <v>12751.111124231114</v>
      </c>
      <c r="AF52" s="158">
        <f t="shared" si="54"/>
        <v>13108.142235709585</v>
      </c>
      <c r="AG52" s="166">
        <v>44.896000000000001</v>
      </c>
      <c r="AH52" s="166">
        <v>10.303000000000001</v>
      </c>
      <c r="AI52" s="166">
        <f>AH52*$AM$16</f>
        <v>10.859362000000001</v>
      </c>
      <c r="AJ52" s="166">
        <f>AI52*$AN$16</f>
        <v>11.163424136000001</v>
      </c>
      <c r="AK52" s="166">
        <f>AJ52*$AO$16</f>
        <v>11.476000011808003</v>
      </c>
      <c r="AL52" s="166">
        <f>AK52*$AP$16</f>
        <v>11.797328012138626</v>
      </c>
    </row>
    <row r="53" spans="1:38" s="171" customFormat="1" ht="15.75" x14ac:dyDescent="0.25">
      <c r="A53" s="174" t="s">
        <v>459</v>
      </c>
      <c r="B53" s="170" t="s">
        <v>442</v>
      </c>
      <c r="C53" s="158">
        <v>43.918999999999997</v>
      </c>
      <c r="D53" s="158">
        <v>53.859000000000002</v>
      </c>
      <c r="E53" s="158">
        <f>16.406*4</f>
        <v>65.623999999999995</v>
      </c>
      <c r="F53" s="158">
        <f>E53*104.9%</f>
        <v>68.839576000000008</v>
      </c>
      <c r="G53" s="158">
        <f>F53*104%</f>
        <v>71.593159040000018</v>
      </c>
      <c r="H53" s="158">
        <f>G53*104%</f>
        <v>74.456885401600019</v>
      </c>
      <c r="I53" s="158">
        <f>D53</f>
        <v>53.859000000000002</v>
      </c>
      <c r="J53" s="158">
        <f t="shared" ref="J53:M53" si="55">E53</f>
        <v>65.623999999999995</v>
      </c>
      <c r="K53" s="158">
        <f t="shared" si="55"/>
        <v>68.839576000000008</v>
      </c>
      <c r="L53" s="158">
        <f t="shared" si="55"/>
        <v>71.593159040000018</v>
      </c>
      <c r="M53" s="158">
        <f t="shared" si="55"/>
        <v>74.456885401600019</v>
      </c>
      <c r="N53" s="158">
        <f>H53</f>
        <v>74.456885401600019</v>
      </c>
      <c r="O53" s="158">
        <v>0.746</v>
      </c>
      <c r="P53" s="158">
        <v>1.542</v>
      </c>
      <c r="Q53" s="158">
        <v>0</v>
      </c>
      <c r="R53" s="158">
        <v>0</v>
      </c>
      <c r="S53" s="158">
        <v>0</v>
      </c>
      <c r="T53" s="158">
        <v>0</v>
      </c>
      <c r="U53" s="158">
        <v>64</v>
      </c>
      <c r="V53" s="158">
        <v>64</v>
      </c>
      <c r="W53" s="158">
        <v>64</v>
      </c>
      <c r="X53" s="158">
        <v>64</v>
      </c>
      <c r="Y53" s="158">
        <v>64</v>
      </c>
      <c r="Z53" s="158">
        <v>64</v>
      </c>
      <c r="AA53" s="166">
        <f>AG53/U53/12*1000000</f>
        <v>41522.135416666672</v>
      </c>
      <c r="AB53" s="166">
        <f t="shared" si="54"/>
        <v>43209.635416666672</v>
      </c>
      <c r="AC53" s="166">
        <f t="shared" si="54"/>
        <v>45542.955729166664</v>
      </c>
      <c r="AD53" s="166">
        <f t="shared" si="54"/>
        <v>46818.158489583337</v>
      </c>
      <c r="AE53" s="166">
        <f>AK53/Y53/12*1000000</f>
        <v>48129.066927291664</v>
      </c>
      <c r="AF53" s="158">
        <f t="shared" si="54"/>
        <v>49476.680801255832</v>
      </c>
      <c r="AG53" s="166">
        <v>31.888999999999999</v>
      </c>
      <c r="AH53" s="166">
        <v>33.185000000000002</v>
      </c>
      <c r="AI53" s="166">
        <f>AH53*$AM$16</f>
        <v>34.976990000000001</v>
      </c>
      <c r="AJ53" s="166">
        <f>AI53*$AN$16</f>
        <v>35.956345720000002</v>
      </c>
      <c r="AK53" s="166">
        <f>AJ53*$AO$16</f>
        <v>36.963123400160001</v>
      </c>
      <c r="AL53" s="166">
        <f>AK53*$AP$16</f>
        <v>37.998090855364481</v>
      </c>
    </row>
    <row r="54" spans="1:38" s="171" customFormat="1" ht="15.75" x14ac:dyDescent="0.25">
      <c r="A54" s="183"/>
      <c r="B54" s="180"/>
      <c r="C54" s="162"/>
      <c r="D54" s="162"/>
      <c r="E54" s="162"/>
      <c r="F54" s="162"/>
      <c r="G54" s="162"/>
      <c r="H54" s="162"/>
      <c r="I54" s="162"/>
      <c r="J54" s="162"/>
      <c r="K54" s="162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2"/>
      <c r="W54" s="162"/>
      <c r="X54" s="162"/>
      <c r="Y54" s="162"/>
      <c r="Z54" s="162"/>
      <c r="AA54" s="181"/>
      <c r="AB54" s="181"/>
      <c r="AC54" s="181"/>
      <c r="AD54" s="181"/>
      <c r="AE54" s="181"/>
      <c r="AF54" s="162"/>
      <c r="AG54" s="181"/>
      <c r="AH54" s="181"/>
      <c r="AI54" s="181"/>
      <c r="AJ54" s="181"/>
      <c r="AK54" s="181"/>
      <c r="AL54" s="182"/>
    </row>
    <row r="55" spans="1:38" s="227" customFormat="1" ht="18.75" x14ac:dyDescent="0.25">
      <c r="A55" s="333" t="s">
        <v>460</v>
      </c>
      <c r="B55" s="328"/>
      <c r="C55" s="319">
        <f>'Прогноз 2024-2026 '!C18</f>
        <v>1384.3330000000001</v>
      </c>
      <c r="D55" s="319">
        <f>'Прогноз 2024-2026 '!D18</f>
        <v>1168.711</v>
      </c>
      <c r="E55" s="319">
        <f>'Прогноз 2024-2026 '!E18</f>
        <v>1218.9655729999999</v>
      </c>
      <c r="F55" s="319">
        <f>'Прогноз 2024-2026 '!G18</f>
        <v>1276.2569549309999</v>
      </c>
      <c r="G55" s="319">
        <f>'Прогноз 2024-2026 '!H18</f>
        <v>1331.1360039930328</v>
      </c>
      <c r="H55" s="319">
        <f>'Прогноз 2024-2026 '!I18</f>
        <v>1380.3880361407748</v>
      </c>
      <c r="I55" s="319">
        <f>C55</f>
        <v>1384.3330000000001</v>
      </c>
      <c r="J55" s="319">
        <f t="shared" ref="J55:N55" si="56">D55</f>
        <v>1168.711</v>
      </c>
      <c r="K55" s="319">
        <f t="shared" si="56"/>
        <v>1218.9655729999999</v>
      </c>
      <c r="L55" s="319">
        <f t="shared" si="56"/>
        <v>1276.2569549309999</v>
      </c>
      <c r="M55" s="319">
        <f t="shared" si="56"/>
        <v>1331.1360039930328</v>
      </c>
      <c r="N55" s="319">
        <f t="shared" si="56"/>
        <v>1380.3880361407748</v>
      </c>
      <c r="O55" s="328">
        <f>O57</f>
        <v>75.534000000000006</v>
      </c>
      <c r="P55" s="328">
        <f t="shared" ref="P55:T55" si="57">P57</f>
        <v>-55.654000000000003</v>
      </c>
      <c r="Q55" s="328">
        <f t="shared" si="57"/>
        <v>0</v>
      </c>
      <c r="R55" s="328">
        <f t="shared" si="57"/>
        <v>0</v>
      </c>
      <c r="S55" s="328">
        <f t="shared" si="57"/>
        <v>0</v>
      </c>
      <c r="T55" s="328">
        <f t="shared" si="57"/>
        <v>0</v>
      </c>
      <c r="U55" s="340">
        <v>400</v>
      </c>
      <c r="V55" s="340">
        <v>464</v>
      </c>
      <c r="W55" s="340">
        <v>395</v>
      </c>
      <c r="X55" s="340">
        <f>'[2]Прогноз 2022-2024 '!F92*1000</f>
        <v>395</v>
      </c>
      <c r="Y55" s="340">
        <f>'[2]Прогноз 2022-2024 '!H92*1000</f>
        <v>395</v>
      </c>
      <c r="Z55" s="340">
        <f>'[2]Прогноз 2022-2024 '!I92*1000</f>
        <v>395</v>
      </c>
      <c r="AA55" s="317">
        <f>'[2]Прогноз 2022-2024 '!C133</f>
        <v>52255.4</v>
      </c>
      <c r="AB55" s="317">
        <f>'[2]Прогноз 2022-2024 '!D133</f>
        <v>56341.9</v>
      </c>
      <c r="AC55" s="317">
        <f>'[2]Прогноз 2022-2024 '!E133</f>
        <v>54257.2497</v>
      </c>
      <c r="AD55" s="317">
        <f>'[2]Прогноз 2022-2024 '!F133</f>
        <v>52358.245960499997</v>
      </c>
      <c r="AE55" s="317">
        <f>'[2]Прогноз 2022-2024 '!H133</f>
        <v>54855.381620692795</v>
      </c>
      <c r="AF55" s="329">
        <f>'[2]Прогноз 2022-2024 '!I133</f>
        <v>55458.790818520407</v>
      </c>
      <c r="AG55" s="317">
        <f>U55*AA55*12/1000000</f>
        <v>250.82592</v>
      </c>
      <c r="AH55" s="317">
        <f t="shared" ref="AH55:AL55" si="58">V55*AB55*12/1000000</f>
        <v>313.71169920000006</v>
      </c>
      <c r="AI55" s="317">
        <f t="shared" si="58"/>
        <v>257.17936357799999</v>
      </c>
      <c r="AJ55" s="317">
        <f t="shared" si="58"/>
        <v>248.17808585276998</v>
      </c>
      <c r="AK55" s="317">
        <f t="shared" si="58"/>
        <v>260.01450888208382</v>
      </c>
      <c r="AL55" s="317">
        <f t="shared" si="58"/>
        <v>262.87466847978675</v>
      </c>
    </row>
    <row r="56" spans="1:38" s="79" customFormat="1" ht="18" customHeight="1" x14ac:dyDescent="0.2">
      <c r="A56" s="206" t="s">
        <v>431</v>
      </c>
      <c r="B56" s="337"/>
      <c r="C56" s="324"/>
      <c r="D56" s="324"/>
      <c r="E56" s="324"/>
      <c r="F56" s="324"/>
      <c r="G56" s="324"/>
      <c r="H56" s="324"/>
      <c r="I56" s="324"/>
      <c r="J56" s="324"/>
      <c r="K56" s="324"/>
      <c r="L56" s="324"/>
      <c r="M56" s="324"/>
      <c r="N56" s="324"/>
      <c r="O56" s="324"/>
      <c r="P56" s="324"/>
      <c r="Q56" s="324"/>
      <c r="R56" s="324"/>
      <c r="S56" s="324"/>
      <c r="T56" s="324"/>
      <c r="U56" s="324"/>
      <c r="V56" s="324"/>
      <c r="W56" s="324"/>
      <c r="X56" s="324"/>
      <c r="Y56" s="324"/>
      <c r="Z56" s="324"/>
      <c r="AA56" s="338"/>
      <c r="AB56" s="338"/>
      <c r="AC56" s="338"/>
      <c r="AD56" s="338"/>
      <c r="AE56" s="338"/>
      <c r="AF56" s="324"/>
      <c r="AG56" s="338"/>
      <c r="AH56" s="338"/>
      <c r="AI56" s="338"/>
      <c r="AJ56" s="338"/>
      <c r="AK56" s="338"/>
      <c r="AL56" s="339"/>
    </row>
    <row r="57" spans="1:38" s="171" customFormat="1" ht="15.75" x14ac:dyDescent="0.25">
      <c r="A57" s="174" t="s">
        <v>461</v>
      </c>
      <c r="B57" s="170" t="s">
        <v>436</v>
      </c>
      <c r="C57" s="158">
        <v>797.86599999999999</v>
      </c>
      <c r="D57" s="158">
        <v>1169.212</v>
      </c>
      <c r="E57" s="158">
        <v>1039.097</v>
      </c>
      <c r="F57" s="158">
        <f>E57*105.2%</f>
        <v>1093.130044</v>
      </c>
      <c r="G57" s="158">
        <f>F57*105.1%</f>
        <v>1148.8796762439999</v>
      </c>
      <c r="H57" s="158">
        <f>G57*104.4%</f>
        <v>1199.430381998736</v>
      </c>
      <c r="I57" s="158">
        <f>C57</f>
        <v>797.86599999999999</v>
      </c>
      <c r="J57" s="158">
        <f t="shared" ref="J57:N57" si="59">D57</f>
        <v>1169.212</v>
      </c>
      <c r="K57" s="158">
        <f t="shared" si="59"/>
        <v>1039.097</v>
      </c>
      <c r="L57" s="158">
        <f t="shared" si="59"/>
        <v>1093.130044</v>
      </c>
      <c r="M57" s="158">
        <f t="shared" si="59"/>
        <v>1148.8796762439999</v>
      </c>
      <c r="N57" s="158">
        <f t="shared" si="59"/>
        <v>1199.430381998736</v>
      </c>
      <c r="O57" s="158">
        <v>75.534000000000006</v>
      </c>
      <c r="P57" s="158">
        <v>-55.654000000000003</v>
      </c>
      <c r="Q57" s="158"/>
      <c r="R57" s="158"/>
      <c r="S57" s="158"/>
      <c r="T57" s="158"/>
      <c r="U57" s="158">
        <v>340</v>
      </c>
      <c r="V57" s="158">
        <v>340</v>
      </c>
      <c r="W57" s="158">
        <f>V57-30</f>
        <v>310</v>
      </c>
      <c r="X57" s="158">
        <v>310</v>
      </c>
      <c r="Y57" s="158">
        <f t="shared" ref="Y57:Z57" si="60">X57</f>
        <v>310</v>
      </c>
      <c r="Z57" s="158">
        <f t="shared" si="60"/>
        <v>310</v>
      </c>
      <c r="AA57" s="166">
        <f>AG57/U57/12*1000000</f>
        <v>55374.754901960783</v>
      </c>
      <c r="AB57" s="166">
        <f t="shared" ref="AB57:AF57" si="61">AH57/V57/12*1000000</f>
        <v>63016.471078431365</v>
      </c>
      <c r="AC57" s="166">
        <f t="shared" si="61"/>
        <v>72847.040566666663</v>
      </c>
      <c r="AD57" s="166">
        <f t="shared" si="61"/>
        <v>74886.757702533316</v>
      </c>
      <c r="AE57" s="166">
        <f t="shared" si="61"/>
        <v>76983.586918204252</v>
      </c>
      <c r="AF57" s="158">
        <f t="shared" si="61"/>
        <v>79139.12735191398</v>
      </c>
      <c r="AG57" s="166">
        <v>225.929</v>
      </c>
      <c r="AH57" s="166">
        <f>AG57*113.8%</f>
        <v>257.10720199999997</v>
      </c>
      <c r="AI57" s="166">
        <f>AH57*AM16</f>
        <v>270.99099090799996</v>
      </c>
      <c r="AJ57" s="166">
        <f t="shared" ref="AJ57:AL57" si="62">AI57*AN16</f>
        <v>278.57873865342395</v>
      </c>
      <c r="AK57" s="166">
        <f t="shared" si="62"/>
        <v>286.37894333571984</v>
      </c>
      <c r="AL57" s="166">
        <f t="shared" si="62"/>
        <v>294.39755374911999</v>
      </c>
    </row>
    <row r="58" spans="1:38" s="79" customFormat="1" x14ac:dyDescent="0.2">
      <c r="A58" s="341"/>
      <c r="B58" s="342"/>
      <c r="C58" s="326"/>
      <c r="D58" s="326"/>
      <c r="E58" s="326"/>
      <c r="F58" s="326"/>
      <c r="G58" s="326"/>
      <c r="H58" s="326"/>
      <c r="I58" s="326"/>
      <c r="J58" s="326"/>
      <c r="K58" s="326"/>
      <c r="L58" s="326"/>
      <c r="M58" s="326"/>
      <c r="N58" s="326"/>
      <c r="O58" s="326"/>
      <c r="P58" s="326"/>
      <c r="Q58" s="326"/>
      <c r="R58" s="326"/>
      <c r="S58" s="326"/>
      <c r="T58" s="326"/>
      <c r="U58" s="326"/>
      <c r="V58" s="326"/>
      <c r="W58" s="326"/>
      <c r="X58" s="326"/>
      <c r="Y58" s="326"/>
      <c r="Z58" s="326"/>
      <c r="AA58" s="343"/>
      <c r="AB58" s="343"/>
      <c r="AC58" s="343"/>
      <c r="AD58" s="343"/>
      <c r="AE58" s="343"/>
      <c r="AF58" s="326"/>
      <c r="AG58" s="343"/>
      <c r="AH58" s="343"/>
      <c r="AI58" s="343"/>
      <c r="AJ58" s="343"/>
      <c r="AK58" s="343"/>
      <c r="AL58" s="344"/>
    </row>
    <row r="59" spans="1:38" s="223" customFormat="1" ht="93.75" x14ac:dyDescent="0.2">
      <c r="A59" s="333" t="s">
        <v>462</v>
      </c>
      <c r="B59" s="345"/>
      <c r="C59" s="319">
        <f>'Прогноз 2024-2026 '!C19</f>
        <v>6504.598</v>
      </c>
      <c r="D59" s="319">
        <f>'Прогноз 2024-2026 '!D19</f>
        <v>4465.9139999999998</v>
      </c>
      <c r="E59" s="319">
        <f>'Прогноз 2024-2026 '!E19</f>
        <v>4702.6074419999995</v>
      </c>
      <c r="F59" s="319">
        <f>'Прогноз 2024-2026 '!G19</f>
        <v>4867.1987024699993</v>
      </c>
      <c r="G59" s="319">
        <f>'Прогноз 2024-2026 '!H19</f>
        <v>5037.5506570564485</v>
      </c>
      <c r="H59" s="319">
        <f>'Прогноз 2024-2026 '!I19</f>
        <v>5218.9024807104806</v>
      </c>
      <c r="I59" s="319">
        <f>C59</f>
        <v>6504.598</v>
      </c>
      <c r="J59" s="319">
        <f t="shared" ref="J59:N59" si="63">D59</f>
        <v>4465.9139999999998</v>
      </c>
      <c r="K59" s="319">
        <f t="shared" si="63"/>
        <v>4702.6074419999995</v>
      </c>
      <c r="L59" s="319">
        <f t="shared" si="63"/>
        <v>4867.1987024699993</v>
      </c>
      <c r="M59" s="319">
        <f t="shared" si="63"/>
        <v>5037.5506570564485</v>
      </c>
      <c r="N59" s="319">
        <f t="shared" si="63"/>
        <v>5218.9024807104806</v>
      </c>
      <c r="O59" s="328">
        <f>SUM(O61:O63)</f>
        <v>20.245000000000001</v>
      </c>
      <c r="P59" s="328">
        <f t="shared" ref="P59:T59" si="64">SUM(P61:P63)</f>
        <v>11.09</v>
      </c>
      <c r="Q59" s="328">
        <f t="shared" si="64"/>
        <v>0</v>
      </c>
      <c r="R59" s="328">
        <f t="shared" si="64"/>
        <v>0</v>
      </c>
      <c r="S59" s="328">
        <f t="shared" si="64"/>
        <v>0</v>
      </c>
      <c r="T59" s="328">
        <f t="shared" si="64"/>
        <v>0</v>
      </c>
      <c r="U59" s="340">
        <v>3288</v>
      </c>
      <c r="V59" s="340">
        <f>'[2]Прогноз 2022-2024 '!D93*1000</f>
        <v>3288</v>
      </c>
      <c r="W59" s="340">
        <f>'[2]Прогноз 2022-2024 '!E93*1000</f>
        <v>3288</v>
      </c>
      <c r="X59" s="340">
        <f>'[2]Прогноз 2022-2024 '!F93*1000</f>
        <v>3288</v>
      </c>
      <c r="Y59" s="340">
        <v>3288</v>
      </c>
      <c r="Z59" s="340">
        <v>3288</v>
      </c>
      <c r="AA59" s="319">
        <f>'[2]Прогноз 2022-2024 '!C133</f>
        <v>52255.4</v>
      </c>
      <c r="AB59" s="319">
        <f>'[2]Прогноз 2022-2024 '!D133</f>
        <v>56341.9</v>
      </c>
      <c r="AC59" s="319">
        <f>'[2]Прогноз 2022-2024 '!E133</f>
        <v>54257.2497</v>
      </c>
      <c r="AD59" s="319">
        <f>'[2]Прогноз 2022-2024 '!F133</f>
        <v>52358.245960499997</v>
      </c>
      <c r="AE59" s="319">
        <f>'[2]Прогноз 2022-2024 '!H133</f>
        <v>54855.381620692795</v>
      </c>
      <c r="AF59" s="319">
        <f>'[2]Прогноз 2022-2024 '!I133</f>
        <v>55458.790818520407</v>
      </c>
      <c r="AG59" s="319">
        <f>U59*AA59*12/1000000</f>
        <v>2061.7890624000001</v>
      </c>
      <c r="AH59" s="319">
        <f t="shared" ref="AH59:AL59" si="65">V59*AB59*12/1000000</f>
        <v>2223.0260063999999</v>
      </c>
      <c r="AI59" s="319">
        <f t="shared" si="65"/>
        <v>2140.7740441632</v>
      </c>
      <c r="AJ59" s="319">
        <f t="shared" si="65"/>
        <v>2065.8469526174881</v>
      </c>
      <c r="AK59" s="319">
        <f t="shared" si="65"/>
        <v>2164.3739372260547</v>
      </c>
      <c r="AL59" s="319">
        <f t="shared" si="65"/>
        <v>2188.1820505355408</v>
      </c>
    </row>
    <row r="60" spans="1:38" s="79" customFormat="1" x14ac:dyDescent="0.2">
      <c r="A60" s="206" t="s">
        <v>431</v>
      </c>
      <c r="B60" s="337"/>
      <c r="C60" s="324"/>
      <c r="D60" s="324"/>
      <c r="E60" s="324"/>
      <c r="F60" s="324"/>
      <c r="G60" s="324"/>
      <c r="H60" s="324"/>
      <c r="I60" s="324"/>
      <c r="J60" s="324"/>
      <c r="K60" s="324"/>
      <c r="L60" s="324"/>
      <c r="M60" s="324"/>
      <c r="N60" s="324"/>
      <c r="O60" s="324"/>
      <c r="P60" s="324"/>
      <c r="Q60" s="324"/>
      <c r="R60" s="324"/>
      <c r="S60" s="324"/>
      <c r="T60" s="324"/>
      <c r="U60" s="324"/>
      <c r="V60" s="324"/>
      <c r="W60" s="324"/>
      <c r="X60" s="324"/>
      <c r="Y60" s="324"/>
      <c r="Z60" s="324"/>
      <c r="AA60" s="338"/>
      <c r="AB60" s="338"/>
      <c r="AC60" s="338"/>
      <c r="AD60" s="338"/>
      <c r="AE60" s="338"/>
      <c r="AF60" s="324"/>
      <c r="AG60" s="338"/>
      <c r="AH60" s="338"/>
      <c r="AI60" s="338"/>
      <c r="AJ60" s="338"/>
      <c r="AK60" s="338"/>
      <c r="AL60" s="339"/>
    </row>
    <row r="61" spans="1:38" s="171" customFormat="1" ht="15.75" x14ac:dyDescent="0.2">
      <c r="A61" s="204" t="s">
        <v>463</v>
      </c>
      <c r="B61" s="170" t="s">
        <v>464</v>
      </c>
      <c r="C61" s="158">
        <v>86.263999999999996</v>
      </c>
      <c r="D61" s="158">
        <v>57.991999999999997</v>
      </c>
      <c r="E61" s="158">
        <f>D61*92.5%</f>
        <v>53.642600000000002</v>
      </c>
      <c r="F61" s="158">
        <f>E61*97.3%</f>
        <v>52.194249800000001</v>
      </c>
      <c r="G61" s="158">
        <f>F61*101.7%</f>
        <v>53.081552046600009</v>
      </c>
      <c r="H61" s="158">
        <f>G61*101.5%</f>
        <v>53.877775327299005</v>
      </c>
      <c r="I61" s="158">
        <f>C61</f>
        <v>86.263999999999996</v>
      </c>
      <c r="J61" s="158">
        <f t="shared" ref="J61:N63" si="66">D61</f>
        <v>57.991999999999997</v>
      </c>
      <c r="K61" s="158">
        <f t="shared" si="66"/>
        <v>53.642600000000002</v>
      </c>
      <c r="L61" s="158">
        <f t="shared" si="66"/>
        <v>52.194249800000001</v>
      </c>
      <c r="M61" s="158">
        <f t="shared" si="66"/>
        <v>53.081552046600009</v>
      </c>
      <c r="N61" s="158">
        <f t="shared" si="66"/>
        <v>53.877775327299005</v>
      </c>
      <c r="O61" s="158">
        <v>4.7450000000000001</v>
      </c>
      <c r="P61" s="158">
        <v>3.2069999999999999</v>
      </c>
      <c r="Q61" s="158"/>
      <c r="R61" s="158"/>
      <c r="S61" s="158"/>
      <c r="T61" s="158"/>
      <c r="U61" s="158">
        <v>22</v>
      </c>
      <c r="V61" s="158">
        <v>13</v>
      </c>
      <c r="W61" s="158">
        <f>V61</f>
        <v>13</v>
      </c>
      <c r="X61" s="158">
        <f t="shared" ref="X61:Z61" si="67">W61</f>
        <v>13</v>
      </c>
      <c r="Y61" s="158">
        <f t="shared" si="67"/>
        <v>13</v>
      </c>
      <c r="Z61" s="158">
        <f t="shared" si="67"/>
        <v>13</v>
      </c>
      <c r="AA61" s="166">
        <f>AG61/U61/12*1000000</f>
        <v>25825.757575757576</v>
      </c>
      <c r="AB61" s="166">
        <f t="shared" ref="AB61:AF63" si="68">AH61/V61/12*1000000</f>
        <v>49736.435897435891</v>
      </c>
      <c r="AC61" s="166">
        <f t="shared" si="68"/>
        <v>52422.203435897427</v>
      </c>
      <c r="AD61" s="166">
        <f t="shared" si="68"/>
        <v>53890.025132102557</v>
      </c>
      <c r="AE61" s="166">
        <f t="shared" si="68"/>
        <v>55398.945835801424</v>
      </c>
      <c r="AF61" s="158">
        <f t="shared" si="68"/>
        <v>56950.116319203858</v>
      </c>
      <c r="AG61" s="166">
        <v>6.8179999999999996</v>
      </c>
      <c r="AH61" s="166">
        <f>AG61*113.8%</f>
        <v>7.7588839999999992</v>
      </c>
      <c r="AI61" s="166">
        <f>AH61*$AM$16</f>
        <v>8.1778637359999991</v>
      </c>
      <c r="AJ61" s="166">
        <f>AI61*$AN$16</f>
        <v>8.406843920607999</v>
      </c>
      <c r="AK61" s="166">
        <f>AJ61*$AO$16</f>
        <v>8.6422355503850223</v>
      </c>
      <c r="AL61" s="166">
        <f>AK61*$AP$16</f>
        <v>8.8842181457958027</v>
      </c>
    </row>
    <row r="62" spans="1:38" s="171" customFormat="1" ht="15.75" x14ac:dyDescent="0.2">
      <c r="A62" s="204" t="s">
        <v>465</v>
      </c>
      <c r="B62" s="170" t="s">
        <v>464</v>
      </c>
      <c r="C62" s="158">
        <v>105.577</v>
      </c>
      <c r="D62" s="158">
        <v>102.253</v>
      </c>
      <c r="E62" s="158">
        <f t="shared" ref="E62:E63" si="69">D62*92.5%</f>
        <v>94.584025000000011</v>
      </c>
      <c r="F62" s="158">
        <f t="shared" ref="F62:F63" si="70">E62*97.3%</f>
        <v>92.030256325000011</v>
      </c>
      <c r="G62" s="158">
        <f t="shared" ref="G62:G63" si="71">F62*101.7%</f>
        <v>93.594770682525024</v>
      </c>
      <c r="H62" s="158">
        <f t="shared" ref="H62:H63" si="72">G62*101.5%</f>
        <v>94.998692242762885</v>
      </c>
      <c r="I62" s="158">
        <f t="shared" ref="I62:I63" si="73">C62</f>
        <v>105.577</v>
      </c>
      <c r="J62" s="158">
        <f t="shared" si="66"/>
        <v>102.253</v>
      </c>
      <c r="K62" s="158">
        <f t="shared" si="66"/>
        <v>94.584025000000011</v>
      </c>
      <c r="L62" s="158">
        <f t="shared" si="66"/>
        <v>92.030256325000011</v>
      </c>
      <c r="M62" s="158">
        <f t="shared" si="66"/>
        <v>93.594770682525024</v>
      </c>
      <c r="N62" s="158">
        <f t="shared" si="66"/>
        <v>94.998692242762885</v>
      </c>
      <c r="O62" s="158">
        <v>8.3000000000000007</v>
      </c>
      <c r="P62" s="158">
        <v>3.6949999999999998</v>
      </c>
      <c r="Q62" s="158"/>
      <c r="R62" s="158"/>
      <c r="S62" s="158"/>
      <c r="T62" s="158"/>
      <c r="U62" s="158">
        <v>26</v>
      </c>
      <c r="V62" s="158">
        <v>28</v>
      </c>
      <c r="W62" s="158">
        <f t="shared" ref="W62:Z63" si="74">V62</f>
        <v>28</v>
      </c>
      <c r="X62" s="158">
        <f t="shared" si="74"/>
        <v>28</v>
      </c>
      <c r="Y62" s="158">
        <f t="shared" si="74"/>
        <v>28</v>
      </c>
      <c r="Z62" s="158">
        <f t="shared" si="74"/>
        <v>28</v>
      </c>
      <c r="AA62" s="166">
        <f>AG62/U62/12*1000000</f>
        <v>30230.76923076923</v>
      </c>
      <c r="AB62" s="166">
        <f t="shared" si="68"/>
        <v>31945.28571428571</v>
      </c>
      <c r="AC62" s="166">
        <f t="shared" si="68"/>
        <v>33670.331142857147</v>
      </c>
      <c r="AD62" s="166">
        <f t="shared" si="68"/>
        <v>34613.100414857145</v>
      </c>
      <c r="AE62" s="166">
        <f>AK62/Y62/12*1000000</f>
        <v>35582.267226473137</v>
      </c>
      <c r="AF62" s="158">
        <f t="shared" si="68"/>
        <v>36578.570708814397</v>
      </c>
      <c r="AG62" s="166">
        <v>9.4320000000000004</v>
      </c>
      <c r="AH62" s="166">
        <f t="shared" ref="AH62:AH63" si="75">AG62*113.8%</f>
        <v>10.733616</v>
      </c>
      <c r="AI62" s="166">
        <f t="shared" ref="AI62:AI63" si="76">AH62*$AM$16</f>
        <v>11.313231264000001</v>
      </c>
      <c r="AJ62" s="166">
        <f t="shared" ref="AJ62:AJ63" si="77">AI62*$AN$16</f>
        <v>11.630001739392</v>
      </c>
      <c r="AK62" s="166">
        <f t="shared" ref="AK62:AK63" si="78">AJ62*$AO$16</f>
        <v>11.955641788094976</v>
      </c>
      <c r="AL62" s="166">
        <f t="shared" ref="AL62:AL63" si="79">AK62*$AP$16</f>
        <v>12.290399758161636</v>
      </c>
    </row>
    <row r="63" spans="1:38" s="171" customFormat="1" ht="15.75" x14ac:dyDescent="0.2">
      <c r="A63" s="204" t="s">
        <v>466</v>
      </c>
      <c r="B63" s="170" t="s">
        <v>464</v>
      </c>
      <c r="C63" s="158">
        <v>61.811</v>
      </c>
      <c r="D63" s="158">
        <v>63.335999999999999</v>
      </c>
      <c r="E63" s="158">
        <f t="shared" si="69"/>
        <v>58.585799999999999</v>
      </c>
      <c r="F63" s="158">
        <f t="shared" si="70"/>
        <v>57.003983399999996</v>
      </c>
      <c r="G63" s="158">
        <f t="shared" si="71"/>
        <v>57.973051117800004</v>
      </c>
      <c r="H63" s="158">
        <f t="shared" si="72"/>
        <v>58.842646884566996</v>
      </c>
      <c r="I63" s="158">
        <f t="shared" si="73"/>
        <v>61.811</v>
      </c>
      <c r="J63" s="158">
        <f t="shared" si="66"/>
        <v>63.335999999999999</v>
      </c>
      <c r="K63" s="158">
        <f t="shared" si="66"/>
        <v>58.585799999999999</v>
      </c>
      <c r="L63" s="158">
        <f t="shared" si="66"/>
        <v>57.003983399999996</v>
      </c>
      <c r="M63" s="158">
        <f t="shared" si="66"/>
        <v>57.973051117800004</v>
      </c>
      <c r="N63" s="158">
        <f t="shared" si="66"/>
        <v>58.842646884566996</v>
      </c>
      <c r="O63" s="158">
        <v>7.2</v>
      </c>
      <c r="P63" s="158">
        <v>4.1879999999999997</v>
      </c>
      <c r="Q63" s="158"/>
      <c r="R63" s="158"/>
      <c r="S63" s="158"/>
      <c r="T63" s="158"/>
      <c r="U63" s="158">
        <v>9</v>
      </c>
      <c r="V63" s="158">
        <v>12</v>
      </c>
      <c r="W63" s="158">
        <f t="shared" si="74"/>
        <v>12</v>
      </c>
      <c r="X63" s="158">
        <f t="shared" si="74"/>
        <v>12</v>
      </c>
      <c r="Y63" s="158">
        <f t="shared" si="74"/>
        <v>12</v>
      </c>
      <c r="Z63" s="158">
        <f t="shared" si="74"/>
        <v>12</v>
      </c>
      <c r="AA63" s="166">
        <f>AG63/U63/12*1000000</f>
        <v>26805.555555555555</v>
      </c>
      <c r="AB63" s="166">
        <f t="shared" si="68"/>
        <v>22878.541666666664</v>
      </c>
      <c r="AC63" s="166">
        <f t="shared" si="68"/>
        <v>24113.982916666664</v>
      </c>
      <c r="AD63" s="166">
        <f t="shared" si="68"/>
        <v>24789.174438333335</v>
      </c>
      <c r="AE63" s="166">
        <f>AK63/Y63/12*1000000</f>
        <v>25483.271322606666</v>
      </c>
      <c r="AF63" s="158">
        <f t="shared" si="68"/>
        <v>26196.802919639649</v>
      </c>
      <c r="AG63" s="166">
        <v>2.895</v>
      </c>
      <c r="AH63" s="166">
        <f t="shared" si="75"/>
        <v>3.2945099999999998</v>
      </c>
      <c r="AI63" s="166">
        <f t="shared" si="76"/>
        <v>3.4724135399999998</v>
      </c>
      <c r="AJ63" s="166">
        <f t="shared" si="77"/>
        <v>3.5696411191199999</v>
      </c>
      <c r="AK63" s="166">
        <f t="shared" si="78"/>
        <v>3.6695910704553598</v>
      </c>
      <c r="AL63" s="166">
        <f t="shared" si="79"/>
        <v>3.7723396204281099</v>
      </c>
    </row>
    <row r="64" spans="1:38" s="79" customFormat="1" x14ac:dyDescent="0.2">
      <c r="A64" s="341"/>
      <c r="B64" s="342"/>
      <c r="C64" s="326"/>
      <c r="D64" s="326"/>
      <c r="E64" s="326"/>
      <c r="F64" s="326"/>
      <c r="G64" s="326"/>
      <c r="H64" s="326"/>
      <c r="I64" s="326"/>
      <c r="J64" s="326"/>
      <c r="K64" s="326"/>
      <c r="L64" s="326"/>
      <c r="M64" s="326"/>
      <c r="N64" s="326"/>
      <c r="O64" s="326"/>
      <c r="P64" s="326"/>
      <c r="Q64" s="326"/>
      <c r="R64" s="326"/>
      <c r="S64" s="326"/>
      <c r="T64" s="326"/>
      <c r="U64" s="326"/>
      <c r="V64" s="326"/>
      <c r="W64" s="326"/>
      <c r="X64" s="326"/>
      <c r="Y64" s="326"/>
      <c r="Z64" s="326"/>
      <c r="AA64" s="343"/>
      <c r="AB64" s="343"/>
      <c r="AC64" s="343"/>
      <c r="AD64" s="343"/>
      <c r="AE64" s="343"/>
      <c r="AF64" s="326"/>
      <c r="AG64" s="343"/>
      <c r="AH64" s="343"/>
      <c r="AI64" s="343"/>
      <c r="AJ64" s="343"/>
      <c r="AK64" s="343"/>
      <c r="AL64" s="344"/>
    </row>
    <row r="65" spans="1:38" s="223" customFormat="1" ht="37.5" x14ac:dyDescent="0.2">
      <c r="A65" s="333" t="s">
        <v>467</v>
      </c>
      <c r="B65" s="345"/>
      <c r="C65" s="319">
        <f>'Прогноз 2024-2026 '!C20</f>
        <v>3013.06</v>
      </c>
      <c r="D65" s="319">
        <f>'Прогноз 2024-2026 '!D20</f>
        <v>2776.4090000000001</v>
      </c>
      <c r="E65" s="319">
        <f>'Прогноз 2024-2026 '!E20</f>
        <v>2948.5463580000001</v>
      </c>
      <c r="F65" s="319">
        <f>'Прогноз 2024-2026 '!G20</f>
        <v>3104.819314974</v>
      </c>
      <c r="G65" s="319">
        <f>'Прогноз 2024-2026 '!H20</f>
        <v>3250.7458227777779</v>
      </c>
      <c r="H65" s="319">
        <f>'Прогноз 2024-2026 '!I20</f>
        <v>3390.527893157222</v>
      </c>
      <c r="I65" s="346">
        <f>C65</f>
        <v>3013.06</v>
      </c>
      <c r="J65" s="346">
        <f t="shared" ref="J65:N65" si="80">D65</f>
        <v>2776.4090000000001</v>
      </c>
      <c r="K65" s="346">
        <f t="shared" si="80"/>
        <v>2948.5463580000001</v>
      </c>
      <c r="L65" s="346">
        <f t="shared" si="80"/>
        <v>3104.819314974</v>
      </c>
      <c r="M65" s="346">
        <f t="shared" si="80"/>
        <v>3250.7458227777779</v>
      </c>
      <c r="N65" s="346">
        <f t="shared" si="80"/>
        <v>3390.527893157222</v>
      </c>
      <c r="O65" s="328">
        <f>SUM(O67:O68)</f>
        <v>17.521000000000001</v>
      </c>
      <c r="P65" s="328">
        <f t="shared" ref="P65:T65" si="81">SUM(P67:P68)</f>
        <v>47.456999999999994</v>
      </c>
      <c r="Q65" s="328">
        <f t="shared" si="81"/>
        <v>-17.103999999999999</v>
      </c>
      <c r="R65" s="328">
        <f t="shared" si="81"/>
        <v>-17.98</v>
      </c>
      <c r="S65" s="328">
        <f t="shared" si="81"/>
        <v>-18.896999999999998</v>
      </c>
      <c r="T65" s="328">
        <f t="shared" si="81"/>
        <v>-19.86</v>
      </c>
      <c r="U65" s="328">
        <v>2668</v>
      </c>
      <c r="V65" s="328">
        <v>2675</v>
      </c>
      <c r="W65" s="328">
        <v>2636</v>
      </c>
      <c r="X65" s="328">
        <f>'[2]Прогноз 2022-2024 '!F94*1000</f>
        <v>2636</v>
      </c>
      <c r="Y65" s="328">
        <f>'[2]Прогноз 2022-2024 '!H94*1000</f>
        <v>2636</v>
      </c>
      <c r="Z65" s="328">
        <f>'[2]Прогноз 2022-2024 '!I94*1000</f>
        <v>2636</v>
      </c>
      <c r="AA65" s="319">
        <f>'[2]Прогноз 2022-2024 '!C135</f>
        <v>37957.088377862492</v>
      </c>
      <c r="AB65" s="319">
        <f>'[2]Прогноз 2022-2024 '!D135</f>
        <v>39057.843940820509</v>
      </c>
      <c r="AC65" s="319">
        <f>'[2]Прогноз 2022-2024 '!E135</f>
        <v>37612.703715010146</v>
      </c>
      <c r="AD65" s="319">
        <f>'[2]Прогноз 2022-2024 '!F135</f>
        <v>36296.259084984791</v>
      </c>
      <c r="AE65" s="319">
        <f>'[2]Прогноз 2022-2024 '!H135</f>
        <v>38027.346160764413</v>
      </c>
      <c r="AF65" s="319">
        <f>'[2]Прогноз 2022-2024 '!I135</f>
        <v>38445.646968532819</v>
      </c>
      <c r="AG65" s="319">
        <f>U65*AA65*12/1000000</f>
        <v>1215.2341415056455</v>
      </c>
      <c r="AH65" s="319">
        <f t="shared" ref="AH65:AL65" si="82">V65*AB65*12/1000000</f>
        <v>1253.7567905003384</v>
      </c>
      <c r="AI65" s="319">
        <f t="shared" si="82"/>
        <v>1189.7650439132008</v>
      </c>
      <c r="AJ65" s="319">
        <f t="shared" si="82"/>
        <v>1148.1232673762388</v>
      </c>
      <c r="AK65" s="319">
        <f t="shared" si="82"/>
        <v>1202.8810137572998</v>
      </c>
      <c r="AL65" s="319">
        <f t="shared" si="82"/>
        <v>1216.1127049086301</v>
      </c>
    </row>
    <row r="66" spans="1:38" s="79" customFormat="1" x14ac:dyDescent="0.2">
      <c r="A66" s="206" t="s">
        <v>431</v>
      </c>
      <c r="B66" s="337"/>
      <c r="C66" s="324"/>
      <c r="D66" s="324"/>
      <c r="E66" s="324"/>
      <c r="F66" s="324"/>
      <c r="G66" s="324"/>
      <c r="H66" s="324"/>
      <c r="I66" s="324"/>
      <c r="J66" s="324"/>
      <c r="K66" s="324"/>
      <c r="L66" s="324"/>
      <c r="M66" s="324"/>
      <c r="N66" s="324"/>
      <c r="O66" s="324"/>
      <c r="P66" s="324"/>
      <c r="Q66" s="324"/>
      <c r="R66" s="324"/>
      <c r="S66" s="324"/>
      <c r="T66" s="324"/>
      <c r="U66" s="324"/>
      <c r="V66" s="324"/>
      <c r="W66" s="324"/>
      <c r="X66" s="324"/>
      <c r="Y66" s="324"/>
      <c r="Z66" s="324"/>
      <c r="AA66" s="338"/>
      <c r="AB66" s="338"/>
      <c r="AC66" s="338"/>
      <c r="AD66" s="338"/>
      <c r="AE66" s="338"/>
      <c r="AF66" s="324"/>
      <c r="AG66" s="338"/>
      <c r="AH66" s="338"/>
      <c r="AI66" s="338"/>
      <c r="AJ66" s="338"/>
      <c r="AK66" s="338"/>
      <c r="AL66" s="339"/>
    </row>
    <row r="67" spans="1:38" s="171" customFormat="1" ht="15.75" x14ac:dyDescent="0.25">
      <c r="A67" s="174" t="s">
        <v>468</v>
      </c>
      <c r="B67" s="170" t="s">
        <v>469</v>
      </c>
      <c r="C67" s="158">
        <v>1.635</v>
      </c>
      <c r="D67" s="158">
        <v>1.44</v>
      </c>
      <c r="E67" s="158">
        <v>1.7210000000000001</v>
      </c>
      <c r="F67" s="158">
        <v>1.786</v>
      </c>
      <c r="G67" s="158">
        <v>1.857</v>
      </c>
      <c r="H67" s="158">
        <v>1.9319999999999999</v>
      </c>
      <c r="I67" s="158">
        <f>C67</f>
        <v>1.635</v>
      </c>
      <c r="J67" s="158">
        <f t="shared" ref="J67:N69" si="83">D67</f>
        <v>1.44</v>
      </c>
      <c r="K67" s="158">
        <f t="shared" si="83"/>
        <v>1.7210000000000001</v>
      </c>
      <c r="L67" s="158">
        <f t="shared" si="83"/>
        <v>1.786</v>
      </c>
      <c r="M67" s="158">
        <f t="shared" si="83"/>
        <v>1.857</v>
      </c>
      <c r="N67" s="158">
        <f t="shared" si="83"/>
        <v>1.9319999999999999</v>
      </c>
      <c r="O67" s="158">
        <v>-13.343999999999999</v>
      </c>
      <c r="P67" s="158">
        <v>-11.971</v>
      </c>
      <c r="Q67" s="158">
        <v>-17.103999999999999</v>
      </c>
      <c r="R67" s="158">
        <v>-17.98</v>
      </c>
      <c r="S67" s="158">
        <v>-18.896999999999998</v>
      </c>
      <c r="T67" s="158">
        <v>-19.86</v>
      </c>
      <c r="U67" s="158">
        <v>57</v>
      </c>
      <c r="V67" s="158">
        <v>46</v>
      </c>
      <c r="W67" s="158">
        <v>39</v>
      </c>
      <c r="X67" s="158">
        <v>46</v>
      </c>
      <c r="Y67" s="158">
        <v>46</v>
      </c>
      <c r="Z67" s="158">
        <v>46</v>
      </c>
      <c r="AA67" s="166">
        <f>AG67/U67/12*1000000</f>
        <v>7748.5380116959068</v>
      </c>
      <c r="AB67" s="166">
        <f t="shared" ref="AB67:AF68" si="84">AH67/V67/12*1000000</f>
        <v>10144.927536231884</v>
      </c>
      <c r="AC67" s="166">
        <f t="shared" si="84"/>
        <v>16666.666666666668</v>
      </c>
      <c r="AD67" s="166">
        <f t="shared" si="84"/>
        <v>14202.898550724638</v>
      </c>
      <c r="AE67" s="166">
        <f t="shared" si="84"/>
        <v>14766.304347826086</v>
      </c>
      <c r="AF67" s="158">
        <f t="shared" si="84"/>
        <v>14766.304347826086</v>
      </c>
      <c r="AG67" s="166">
        <v>5.3</v>
      </c>
      <c r="AH67" s="166">
        <v>5.6</v>
      </c>
      <c r="AI67" s="166">
        <v>7.8</v>
      </c>
      <c r="AJ67" s="166">
        <v>7.84</v>
      </c>
      <c r="AK67" s="166">
        <v>8.1509999999999998</v>
      </c>
      <c r="AL67" s="166">
        <v>8.1509999999999998</v>
      </c>
    </row>
    <row r="68" spans="1:38" s="171" customFormat="1" ht="15.75" x14ac:dyDescent="0.25">
      <c r="A68" s="174" t="s">
        <v>470</v>
      </c>
      <c r="B68" s="170" t="s">
        <v>436</v>
      </c>
      <c r="C68" s="159">
        <v>3013.0590000000002</v>
      </c>
      <c r="D68" s="159">
        <v>2195.6010000000001</v>
      </c>
      <c r="E68" s="159">
        <f>D68*106.2%</f>
        <v>2331.7282620000001</v>
      </c>
      <c r="F68" s="159">
        <f>E68*105.3%</f>
        <v>2455.3098598860001</v>
      </c>
      <c r="G68" s="159">
        <f>F68*104.7%</f>
        <v>2570.7094233006419</v>
      </c>
      <c r="H68" s="159">
        <f>G68*104.3%</f>
        <v>2681.2499285025692</v>
      </c>
      <c r="I68" s="159">
        <f>C68</f>
        <v>3013.0590000000002</v>
      </c>
      <c r="J68" s="159">
        <f t="shared" si="83"/>
        <v>2195.6010000000001</v>
      </c>
      <c r="K68" s="159">
        <f t="shared" si="83"/>
        <v>2331.7282620000001</v>
      </c>
      <c r="L68" s="159">
        <f t="shared" si="83"/>
        <v>2455.3098598860001</v>
      </c>
      <c r="M68" s="159">
        <f t="shared" si="83"/>
        <v>2570.7094233006419</v>
      </c>
      <c r="N68" s="159">
        <f t="shared" si="83"/>
        <v>2681.2499285025692</v>
      </c>
      <c r="O68" s="158">
        <v>30.864999999999998</v>
      </c>
      <c r="P68" s="158">
        <v>59.427999999999997</v>
      </c>
      <c r="Q68" s="158"/>
      <c r="R68" s="158"/>
      <c r="S68" s="158"/>
      <c r="T68" s="158"/>
      <c r="U68" s="158">
        <v>235</v>
      </c>
      <c r="V68" s="158">
        <v>279</v>
      </c>
      <c r="W68" s="158">
        <f>V68-30</f>
        <v>249</v>
      </c>
      <c r="X68" s="158">
        <f>W68</f>
        <v>249</v>
      </c>
      <c r="Y68" s="158">
        <f t="shared" ref="Y68:Z68" si="85">X68</f>
        <v>249</v>
      </c>
      <c r="Z68" s="158">
        <f t="shared" si="85"/>
        <v>249</v>
      </c>
      <c r="AA68" s="166">
        <f>AG68/U68/12*1000000</f>
        <v>64876.595744680853</v>
      </c>
      <c r="AB68" s="166">
        <f t="shared" si="84"/>
        <v>62186.379928315408</v>
      </c>
      <c r="AC68" s="166">
        <f t="shared" si="84"/>
        <v>73441.365461847381</v>
      </c>
      <c r="AD68" s="166">
        <f t="shared" si="84"/>
        <v>75497.723694779124</v>
      </c>
      <c r="AE68" s="166">
        <f t="shared" si="84"/>
        <v>77611.659958232936</v>
      </c>
      <c r="AF68" s="158">
        <f>AL68/Z68/12*1000000</f>
        <v>79784.786437063463</v>
      </c>
      <c r="AG68" s="166">
        <v>182.952</v>
      </c>
      <c r="AH68" s="166">
        <v>208.2</v>
      </c>
      <c r="AI68" s="166">
        <f>AH68*$AM$16</f>
        <v>219.44280000000001</v>
      </c>
      <c r="AJ68" s="166">
        <f>AI68*$AN$16</f>
        <v>225.58719840000001</v>
      </c>
      <c r="AK68" s="166">
        <f>AJ68*$AO$16</f>
        <v>231.90363995520002</v>
      </c>
      <c r="AL68" s="166">
        <f>AK68*$AP$16</f>
        <v>238.39694187394562</v>
      </c>
    </row>
    <row r="69" spans="1:38" s="223" customFormat="1" ht="75" x14ac:dyDescent="0.2">
      <c r="A69" s="333" t="s">
        <v>471</v>
      </c>
      <c r="B69" s="345"/>
      <c r="C69" s="215">
        <v>205.92599999999999</v>
      </c>
      <c r="D69" s="215">
        <v>355.02</v>
      </c>
      <c r="E69" s="347">
        <f>D69*105.2%</f>
        <v>373.48104000000001</v>
      </c>
      <c r="F69" s="347">
        <f>E69*104.9%</f>
        <v>391.78161096000008</v>
      </c>
      <c r="G69" s="347">
        <f>F69*104%</f>
        <v>407.45287539840012</v>
      </c>
      <c r="H69" s="347">
        <f>G69*104%</f>
        <v>423.75099041433612</v>
      </c>
      <c r="I69" s="215">
        <f>C69</f>
        <v>205.92599999999999</v>
      </c>
      <c r="J69" s="215">
        <f t="shared" si="83"/>
        <v>355.02</v>
      </c>
      <c r="K69" s="215">
        <f t="shared" si="83"/>
        <v>373.48104000000001</v>
      </c>
      <c r="L69" s="215">
        <f t="shared" si="83"/>
        <v>391.78161096000008</v>
      </c>
      <c r="M69" s="215">
        <f t="shared" si="83"/>
        <v>407.45287539840012</v>
      </c>
      <c r="N69" s="215">
        <f t="shared" si="83"/>
        <v>423.75099041433612</v>
      </c>
      <c r="O69" s="215"/>
      <c r="P69" s="215"/>
      <c r="Q69" s="215"/>
      <c r="R69" s="215"/>
      <c r="S69" s="215"/>
      <c r="T69" s="215"/>
      <c r="U69" s="215">
        <v>138</v>
      </c>
      <c r="V69" s="215">
        <v>138</v>
      </c>
      <c r="W69" s="215">
        <v>138</v>
      </c>
      <c r="X69" s="215">
        <v>138</v>
      </c>
      <c r="Y69" s="215">
        <v>210</v>
      </c>
      <c r="Z69" s="215">
        <v>350</v>
      </c>
      <c r="AA69" s="348">
        <v>31210.7</v>
      </c>
      <c r="AB69" s="348">
        <f>AA69</f>
        <v>31210.7</v>
      </c>
      <c r="AC69" s="348">
        <f>AB69*96.3%</f>
        <v>30055.9041</v>
      </c>
      <c r="AD69" s="348">
        <f>AC69*96.5%</f>
        <v>29003.947456499998</v>
      </c>
      <c r="AE69" s="348">
        <f>AD69*100.3%</f>
        <v>29090.959298869497</v>
      </c>
      <c r="AF69" s="347">
        <f>AE69*101.1%</f>
        <v>29410.959851157058</v>
      </c>
      <c r="AG69" s="348">
        <v>1.319</v>
      </c>
      <c r="AH69" s="348">
        <v>1.319</v>
      </c>
      <c r="AI69" s="348">
        <v>1.6</v>
      </c>
      <c r="AJ69" s="348">
        <v>1.6</v>
      </c>
      <c r="AK69" s="348">
        <v>1.6</v>
      </c>
      <c r="AL69" s="349">
        <v>1.6</v>
      </c>
    </row>
    <row r="70" spans="1:38" s="79" customFormat="1" x14ac:dyDescent="0.2">
      <c r="A70" s="350" t="s">
        <v>431</v>
      </c>
      <c r="B70" s="351"/>
      <c r="C70" s="167"/>
      <c r="D70" s="167"/>
      <c r="E70" s="167"/>
      <c r="F70" s="167"/>
      <c r="G70" s="167"/>
      <c r="H70" s="167"/>
      <c r="I70" s="167"/>
      <c r="J70" s="167"/>
      <c r="K70" s="167"/>
      <c r="L70" s="167"/>
      <c r="M70" s="167"/>
      <c r="N70" s="167"/>
      <c r="O70" s="167"/>
      <c r="P70" s="167"/>
      <c r="Q70" s="167"/>
      <c r="R70" s="167"/>
      <c r="S70" s="167"/>
      <c r="T70" s="167"/>
      <c r="U70" s="167"/>
      <c r="V70" s="167"/>
      <c r="W70" s="167"/>
      <c r="X70" s="167"/>
      <c r="Y70" s="167"/>
      <c r="Z70" s="167"/>
      <c r="AA70" s="352"/>
      <c r="AB70" s="352"/>
      <c r="AC70" s="352"/>
      <c r="AD70" s="352"/>
      <c r="AE70" s="352"/>
      <c r="AF70" s="167"/>
      <c r="AG70" s="352"/>
      <c r="AH70" s="352"/>
      <c r="AI70" s="352"/>
      <c r="AJ70" s="352"/>
      <c r="AK70" s="352"/>
      <c r="AL70" s="353"/>
    </row>
    <row r="71" spans="1:38" s="79" customFormat="1" x14ac:dyDescent="0.2">
      <c r="A71" s="341"/>
      <c r="B71" s="342"/>
      <c r="C71" s="326"/>
      <c r="D71" s="326"/>
      <c r="E71" s="326"/>
      <c r="F71" s="326"/>
      <c r="G71" s="326"/>
      <c r="H71" s="326"/>
      <c r="I71" s="326"/>
      <c r="J71" s="326"/>
      <c r="K71" s="326"/>
      <c r="L71" s="326"/>
      <c r="M71" s="326"/>
      <c r="N71" s="326"/>
      <c r="O71" s="326"/>
      <c r="P71" s="326"/>
      <c r="Q71" s="326"/>
      <c r="R71" s="326"/>
      <c r="S71" s="326"/>
      <c r="T71" s="326"/>
      <c r="U71" s="326"/>
      <c r="V71" s="326"/>
      <c r="W71" s="326"/>
      <c r="X71" s="326"/>
      <c r="Y71" s="326"/>
      <c r="Z71" s="326"/>
      <c r="AA71" s="343"/>
      <c r="AB71" s="343"/>
      <c r="AC71" s="343"/>
      <c r="AD71" s="343"/>
      <c r="AE71" s="343"/>
      <c r="AF71" s="326"/>
      <c r="AG71" s="343"/>
      <c r="AH71" s="343"/>
      <c r="AI71" s="343"/>
      <c r="AJ71" s="343"/>
      <c r="AK71" s="343"/>
      <c r="AL71" s="344"/>
    </row>
    <row r="72" spans="1:38" s="223" customFormat="1" ht="56.25" x14ac:dyDescent="0.2">
      <c r="A72" s="333" t="s">
        <v>472</v>
      </c>
      <c r="B72" s="345"/>
      <c r="C72" s="319">
        <f>'Прогноз 2024-2026 '!C21</f>
        <v>18.850000000000001</v>
      </c>
      <c r="D72" s="319">
        <f>'Прогноз 2024-2026 '!D21</f>
        <v>9.3070000000000004</v>
      </c>
      <c r="E72" s="319">
        <f>'Прогноз 2024-2026 '!E21</f>
        <v>9.7909640000000007</v>
      </c>
      <c r="F72" s="319">
        <f>'Прогноз 2024-2026 '!G21</f>
        <v>10.270721236</v>
      </c>
      <c r="G72" s="319">
        <f>'Прогноз 2024-2026 '!H21</f>
        <v>10.68155008544</v>
      </c>
      <c r="H72" s="319">
        <f>'Прогноз 2024-2026 '!I21</f>
        <v>11.108812088857601</v>
      </c>
      <c r="I72" s="319">
        <f>C72</f>
        <v>18.850000000000001</v>
      </c>
      <c r="J72" s="319">
        <f t="shared" ref="J72:N72" si="86">D72</f>
        <v>9.3070000000000004</v>
      </c>
      <c r="K72" s="319">
        <f t="shared" si="86"/>
        <v>9.7909640000000007</v>
      </c>
      <c r="L72" s="319">
        <f t="shared" si="86"/>
        <v>10.270721236</v>
      </c>
      <c r="M72" s="319">
        <f t="shared" si="86"/>
        <v>10.68155008544</v>
      </c>
      <c r="N72" s="319">
        <f t="shared" si="86"/>
        <v>11.108812088857601</v>
      </c>
      <c r="O72" s="328">
        <f>SUM(O74:O75)</f>
        <v>0.124</v>
      </c>
      <c r="P72" s="328">
        <f t="shared" ref="P72:T72" si="87">SUM(P74:P75)</f>
        <v>7.5999999999999998E-2</v>
      </c>
      <c r="Q72" s="328">
        <f>SUM(Q74:Q75)</f>
        <v>0</v>
      </c>
      <c r="R72" s="328">
        <f t="shared" si="87"/>
        <v>0</v>
      </c>
      <c r="S72" s="328">
        <f t="shared" si="87"/>
        <v>0</v>
      </c>
      <c r="T72" s="328">
        <f t="shared" si="87"/>
        <v>0</v>
      </c>
      <c r="U72" s="328">
        <v>75</v>
      </c>
      <c r="V72" s="328">
        <v>63</v>
      </c>
      <c r="W72" s="328">
        <v>63</v>
      </c>
      <c r="X72" s="328">
        <v>63</v>
      </c>
      <c r="Y72" s="328">
        <v>63</v>
      </c>
      <c r="Z72" s="328">
        <v>63</v>
      </c>
      <c r="AA72" s="319">
        <f>'[2]Прогноз 2022-2024 '!C136</f>
        <v>34065.362499999996</v>
      </c>
      <c r="AB72" s="319">
        <f>'[2]Прогноз 2022-2024 '!D136</f>
        <v>35053.258012500002</v>
      </c>
      <c r="AC72" s="319">
        <f>'[2]Прогноз 2022-2024 '!E136</f>
        <v>33756.287466037502</v>
      </c>
      <c r="AD72" s="319">
        <f>'[2]Прогноз 2022-2024 '!F136</f>
        <v>32574.817404726189</v>
      </c>
      <c r="AE72" s="319">
        <f>'[2]Прогноз 2022-2024 '!H136</f>
        <v>34128.416779063096</v>
      </c>
      <c r="AF72" s="319">
        <f>'[2]Прогноз 2022-2024 '!I136</f>
        <v>34503.829363632787</v>
      </c>
      <c r="AG72" s="319">
        <f>U72*AA72*12/1000000</f>
        <v>30.658826249999994</v>
      </c>
      <c r="AH72" s="319">
        <f>V72*AB72*12/1000000</f>
        <v>26.500263057449999</v>
      </c>
      <c r="AI72" s="319">
        <f t="shared" ref="AI72:AL72" si="88">W72*AC72*12/1000000</f>
        <v>25.519753324324352</v>
      </c>
      <c r="AJ72" s="319">
        <f t="shared" si="88"/>
        <v>24.626561957972996</v>
      </c>
      <c r="AK72" s="319">
        <f t="shared" si="88"/>
        <v>25.801083084971701</v>
      </c>
      <c r="AL72" s="319">
        <f t="shared" si="88"/>
        <v>26.084894998906385</v>
      </c>
    </row>
    <row r="73" spans="1:38" s="79" customFormat="1" x14ac:dyDescent="0.2">
      <c r="A73" s="206" t="s">
        <v>431</v>
      </c>
      <c r="B73" s="337"/>
      <c r="C73" s="324"/>
      <c r="D73" s="324"/>
      <c r="E73" s="324"/>
      <c r="F73" s="324"/>
      <c r="G73" s="324"/>
      <c r="H73" s="324"/>
      <c r="I73" s="324"/>
      <c r="J73" s="324"/>
      <c r="K73" s="324"/>
      <c r="L73" s="324"/>
      <c r="M73" s="324"/>
      <c r="N73" s="324"/>
      <c r="O73" s="324"/>
      <c r="P73" s="324"/>
      <c r="Q73" s="324"/>
      <c r="R73" s="324"/>
      <c r="S73" s="324"/>
      <c r="T73" s="324"/>
      <c r="U73" s="324"/>
      <c r="V73" s="324"/>
      <c r="W73" s="324"/>
      <c r="X73" s="324"/>
      <c r="Y73" s="324"/>
      <c r="Z73" s="324"/>
      <c r="AA73" s="338"/>
      <c r="AB73" s="338"/>
      <c r="AC73" s="338"/>
      <c r="AD73" s="338"/>
      <c r="AE73" s="338"/>
      <c r="AF73" s="324"/>
      <c r="AG73" s="338"/>
      <c r="AH73" s="338"/>
      <c r="AI73" s="338"/>
      <c r="AJ73" s="338"/>
      <c r="AK73" s="338"/>
      <c r="AL73" s="339"/>
    </row>
    <row r="74" spans="1:38" s="171" customFormat="1" ht="15" customHeight="1" x14ac:dyDescent="0.25">
      <c r="A74" s="174" t="s">
        <v>473</v>
      </c>
      <c r="B74" s="170" t="s">
        <v>442</v>
      </c>
      <c r="C74" s="158">
        <v>3.33</v>
      </c>
      <c r="D74" s="158">
        <v>3.8889999999999998</v>
      </c>
      <c r="E74" s="158">
        <f>D74*92.5%</f>
        <v>3.5973250000000001</v>
      </c>
      <c r="F74" s="158">
        <f>E74*97.3%</f>
        <v>3.500197225</v>
      </c>
      <c r="G74" s="158">
        <f>F74*101.7%</f>
        <v>3.5597005778250006</v>
      </c>
      <c r="H74" s="158">
        <f>G74*101.5%</f>
        <v>3.6130960864923751</v>
      </c>
      <c r="I74" s="158">
        <f>C74</f>
        <v>3.33</v>
      </c>
      <c r="J74" s="158">
        <f t="shared" ref="J74:N75" si="89">D74</f>
        <v>3.8889999999999998</v>
      </c>
      <c r="K74" s="158">
        <f t="shared" si="89"/>
        <v>3.5973250000000001</v>
      </c>
      <c r="L74" s="158">
        <f t="shared" si="89"/>
        <v>3.500197225</v>
      </c>
      <c r="M74" s="158">
        <f t="shared" si="89"/>
        <v>3.5597005778250006</v>
      </c>
      <c r="N74" s="158">
        <f t="shared" si="89"/>
        <v>3.6130960864923751</v>
      </c>
      <c r="O74" s="158">
        <v>0.124</v>
      </c>
      <c r="P74" s="158">
        <v>7.5999999999999998E-2</v>
      </c>
      <c r="Q74" s="158"/>
      <c r="R74" s="158"/>
      <c r="S74" s="158"/>
      <c r="T74" s="158"/>
      <c r="U74" s="158">
        <v>5</v>
      </c>
      <c r="V74" s="158">
        <v>6</v>
      </c>
      <c r="W74" s="158">
        <v>6</v>
      </c>
      <c r="X74" s="158">
        <v>6</v>
      </c>
      <c r="Y74" s="158">
        <v>6</v>
      </c>
      <c r="Z74" s="158">
        <v>6</v>
      </c>
      <c r="AA74" s="181">
        <f>AG74/U74/12*1000000</f>
        <v>36933.333333333336</v>
      </c>
      <c r="AB74" s="181">
        <f t="shared" ref="AB74:AF82" si="90">AH74/V74/12*1000000</f>
        <v>35025.111111111109</v>
      </c>
      <c r="AC74" s="181">
        <f t="shared" si="90"/>
        <v>36916.467111111117</v>
      </c>
      <c r="AD74" s="181">
        <f t="shared" si="90"/>
        <v>37950.128190222233</v>
      </c>
      <c r="AE74" s="181">
        <f t="shared" si="90"/>
        <v>39012.731779548456</v>
      </c>
      <c r="AF74" s="162">
        <f>AL74/Z74/12*1000000</f>
        <v>40105.08826937581</v>
      </c>
      <c r="AG74" s="166">
        <v>2.2160000000000002</v>
      </c>
      <c r="AH74" s="166">
        <f>AG74*113.8%</f>
        <v>2.521808</v>
      </c>
      <c r="AI74" s="166">
        <f>AH74*$AM$16</f>
        <v>2.6579856320000004</v>
      </c>
      <c r="AJ74" s="166">
        <f>AI74*$AN$16</f>
        <v>2.7324092296960005</v>
      </c>
      <c r="AK74" s="166">
        <f>AJ74*$AO$16</f>
        <v>2.8089166881274887</v>
      </c>
      <c r="AL74" s="166">
        <f>AK74*$AP$16</f>
        <v>2.8875663553950583</v>
      </c>
    </row>
    <row r="75" spans="1:38" s="171" customFormat="1" ht="15.75" x14ac:dyDescent="0.25">
      <c r="A75" s="183" t="s">
        <v>474</v>
      </c>
      <c r="B75" s="180" t="s">
        <v>436</v>
      </c>
      <c r="C75" s="162">
        <v>6.0750000000000002</v>
      </c>
      <c r="D75" s="162">
        <v>8.4580000000000002</v>
      </c>
      <c r="E75" s="162">
        <f>D75*105.2%</f>
        <v>8.8978160000000006</v>
      </c>
      <c r="F75" s="162">
        <f>E75*104.9%</f>
        <v>9.3338089840000027</v>
      </c>
      <c r="G75" s="162">
        <f>F75*104%</f>
        <v>9.7071613433600028</v>
      </c>
      <c r="H75" s="162">
        <f>G75*104%</f>
        <v>10.095447797094403</v>
      </c>
      <c r="I75" s="162">
        <f>C75</f>
        <v>6.0750000000000002</v>
      </c>
      <c r="J75" s="162">
        <f t="shared" si="89"/>
        <v>8.4580000000000002</v>
      </c>
      <c r="K75" s="162">
        <f t="shared" si="89"/>
        <v>8.8978160000000006</v>
      </c>
      <c r="L75" s="162">
        <f t="shared" si="89"/>
        <v>9.3338089840000027</v>
      </c>
      <c r="M75" s="162">
        <f t="shared" si="89"/>
        <v>9.7071613433600028</v>
      </c>
      <c r="N75" s="162">
        <f t="shared" si="89"/>
        <v>10.095447797094403</v>
      </c>
      <c r="O75" s="162"/>
      <c r="P75" s="162"/>
      <c r="Q75" s="162"/>
      <c r="R75" s="162"/>
      <c r="S75" s="162"/>
      <c r="T75" s="162"/>
      <c r="U75" s="162">
        <v>7</v>
      </c>
      <c r="V75" s="162">
        <v>10</v>
      </c>
      <c r="W75" s="162">
        <v>10</v>
      </c>
      <c r="X75" s="162">
        <v>10</v>
      </c>
      <c r="Y75" s="162">
        <v>10</v>
      </c>
      <c r="Z75" s="162">
        <v>10</v>
      </c>
      <c r="AA75" s="181">
        <f>AG75/U75/12*1000000</f>
        <v>37059.523809523816</v>
      </c>
      <c r="AB75" s="181">
        <f t="shared" si="90"/>
        <v>38658.333333333336</v>
      </c>
      <c r="AC75" s="181">
        <f t="shared" si="90"/>
        <v>40745.883333333339</v>
      </c>
      <c r="AD75" s="181">
        <f t="shared" si="90"/>
        <v>41886.768066666671</v>
      </c>
      <c r="AE75" s="181">
        <f t="shared" si="90"/>
        <v>43059.597572533341</v>
      </c>
      <c r="AF75" s="162">
        <f>AL75/Z75/12*1000000</f>
        <v>44265.266304564269</v>
      </c>
      <c r="AG75" s="181">
        <v>3.113</v>
      </c>
      <c r="AH75" s="181">
        <v>4.6390000000000002</v>
      </c>
      <c r="AI75" s="166">
        <f>AH75*$AM$16</f>
        <v>4.8895060000000008</v>
      </c>
      <c r="AJ75" s="166">
        <f>AI75*$AN$16</f>
        <v>5.0264121680000011</v>
      </c>
      <c r="AK75" s="166">
        <f>AJ75*$AO$16</f>
        <v>5.1671517087040009</v>
      </c>
      <c r="AL75" s="166">
        <f>AK75*$AP$16</f>
        <v>5.3118319565477128</v>
      </c>
    </row>
    <row r="76" spans="1:38" s="79" customFormat="1" ht="18.75" x14ac:dyDescent="0.2">
      <c r="A76" s="333" t="s">
        <v>475</v>
      </c>
      <c r="B76" s="351"/>
      <c r="C76" s="317">
        <f t="shared" ref="C76:Z76" si="91">C84-C8-C13-C19-C42-C49-C55-C59-C65-C69-C72</f>
        <v>1418.313770000002</v>
      </c>
      <c r="D76" s="317">
        <f t="shared" si="91"/>
        <v>1362.0800000000015</v>
      </c>
      <c r="E76" s="317">
        <f t="shared" si="91"/>
        <v>780.4832099999993</v>
      </c>
      <c r="F76" s="317">
        <f t="shared" si="91"/>
        <v>778.00397013100235</v>
      </c>
      <c r="G76" s="317">
        <f t="shared" si="91"/>
        <v>759.20141080665724</v>
      </c>
      <c r="H76" s="317">
        <f t="shared" si="91"/>
        <v>755.62128678200463</v>
      </c>
      <c r="I76" s="317">
        <f t="shared" si="91"/>
        <v>1418.313770000002</v>
      </c>
      <c r="J76" s="317">
        <f t="shared" si="91"/>
        <v>1362.0800000000015</v>
      </c>
      <c r="K76" s="317">
        <f t="shared" si="91"/>
        <v>780.4832099999993</v>
      </c>
      <c r="L76" s="317">
        <f t="shared" si="91"/>
        <v>778.00397013100235</v>
      </c>
      <c r="M76" s="317">
        <f t="shared" si="91"/>
        <v>759.20141080665724</v>
      </c>
      <c r="N76" s="317">
        <f t="shared" si="91"/>
        <v>755.62128678200463</v>
      </c>
      <c r="O76" s="317">
        <f>SUM(O78:O83)</f>
        <v>49.824999999999996</v>
      </c>
      <c r="P76" s="317">
        <f t="shared" ref="P76:T76" si="92">SUM(P78:P83)</f>
        <v>19.983999999999998</v>
      </c>
      <c r="Q76" s="317">
        <f t="shared" si="92"/>
        <v>18.547999999999998</v>
      </c>
      <c r="R76" s="317">
        <f t="shared" si="92"/>
        <v>21.689</v>
      </c>
      <c r="S76" s="317">
        <f t="shared" si="92"/>
        <v>26.227999999999998</v>
      </c>
      <c r="T76" s="317">
        <f t="shared" si="92"/>
        <v>27.555999999999997</v>
      </c>
      <c r="U76" s="354">
        <f>U84-U8-U13-U19-U42-U49-U55-U59-U65-U69-U72</f>
        <v>4899</v>
      </c>
      <c r="V76" s="354">
        <f t="shared" si="91"/>
        <v>5016</v>
      </c>
      <c r="W76" s="354">
        <f>W84-W8-W13-W19-W42-W49-W55-W59-W65-W69-W72</f>
        <v>5064</v>
      </c>
      <c r="X76" s="354">
        <f t="shared" si="91"/>
        <v>5064</v>
      </c>
      <c r="Y76" s="354">
        <f t="shared" si="91"/>
        <v>4992</v>
      </c>
      <c r="Z76" s="354">
        <f t="shared" si="91"/>
        <v>4852</v>
      </c>
      <c r="AA76" s="317">
        <f>'[2]Прогноз 2022-2024 '!C140</f>
        <v>21251.945027625003</v>
      </c>
      <c r="AB76" s="317">
        <f>'[2]Прогноз 2022-2024 '!D140</f>
        <v>21868.251433426132</v>
      </c>
      <c r="AC76" s="317">
        <f>'[2]Прогноз 2022-2024 '!E140</f>
        <v>21059.126130389366</v>
      </c>
      <c r="AD76" s="317">
        <f>'[2]Прогноз 2022-2024 '!F140</f>
        <v>20322.056715825736</v>
      </c>
      <c r="AE76" s="317">
        <f>'[2]Прогноз 2022-2024 '!H140</f>
        <v>21291.281936850777</v>
      </c>
      <c r="AF76" s="317">
        <f>'[2]Прогноз 2022-2024 '!I140</f>
        <v>21525.486038156134</v>
      </c>
      <c r="AG76" s="317">
        <f>U76*AA76*12/1000000</f>
        <v>1249.3593442840186</v>
      </c>
      <c r="AH76" s="317">
        <f t="shared" ref="AH76:AL76" si="93">V76*AB76*12/1000000</f>
        <v>1316.2937902807855</v>
      </c>
      <c r="AI76" s="317">
        <f t="shared" si="93"/>
        <v>1279.7209766915012</v>
      </c>
      <c r="AJ76" s="317">
        <f t="shared" si="93"/>
        <v>1234.9307425072984</v>
      </c>
      <c r="AK76" s="317">
        <f t="shared" si="93"/>
        <v>1275.432953145109</v>
      </c>
      <c r="AL76" s="317">
        <f t="shared" si="93"/>
        <v>1253.2998990856026</v>
      </c>
    </row>
    <row r="77" spans="1:38" s="79" customFormat="1" x14ac:dyDescent="0.2">
      <c r="A77" s="206" t="s">
        <v>431</v>
      </c>
      <c r="B77" s="337"/>
      <c r="C77" s="324"/>
      <c r="D77" s="324"/>
      <c r="E77" s="324"/>
      <c r="F77" s="324"/>
      <c r="G77" s="324"/>
      <c r="H77" s="324"/>
      <c r="I77" s="324"/>
      <c r="J77" s="324"/>
      <c r="K77" s="324"/>
      <c r="L77" s="324"/>
      <c r="M77" s="324"/>
      <c r="N77" s="324"/>
      <c r="O77" s="324"/>
      <c r="P77" s="324"/>
      <c r="Q77" s="324"/>
      <c r="R77" s="324"/>
      <c r="S77" s="324"/>
      <c r="T77" s="324"/>
      <c r="U77" s="324"/>
      <c r="V77" s="324"/>
      <c r="W77" s="324"/>
      <c r="X77" s="324"/>
      <c r="Y77" s="324"/>
      <c r="Z77" s="324"/>
      <c r="AA77" s="338"/>
      <c r="AB77" s="338"/>
      <c r="AC77" s="338"/>
      <c r="AD77" s="338"/>
      <c r="AE77" s="338"/>
      <c r="AF77" s="324"/>
      <c r="AG77" s="338"/>
      <c r="AH77" s="338"/>
      <c r="AI77" s="338"/>
      <c r="AJ77" s="338"/>
      <c r="AK77" s="338"/>
      <c r="AL77" s="339"/>
    </row>
    <row r="78" spans="1:38" s="186" customFormat="1" ht="31.5" x14ac:dyDescent="0.2">
      <c r="A78" s="331" t="s">
        <v>476</v>
      </c>
      <c r="B78" s="157" t="s">
        <v>442</v>
      </c>
      <c r="C78" s="184">
        <v>7.83</v>
      </c>
      <c r="D78" s="184">
        <v>9.02</v>
      </c>
      <c r="E78" s="184">
        <v>9.0500000000000007</v>
      </c>
      <c r="F78" s="184">
        <v>9.0500000000000007</v>
      </c>
      <c r="G78" s="184">
        <v>9.0500000000000007</v>
      </c>
      <c r="H78" s="184">
        <v>9.0500000000000007</v>
      </c>
      <c r="I78" s="184">
        <f>C78</f>
        <v>7.83</v>
      </c>
      <c r="J78" s="184">
        <f t="shared" ref="J78:N78" si="94">D78</f>
        <v>9.02</v>
      </c>
      <c r="K78" s="184">
        <f t="shared" si="94"/>
        <v>9.0500000000000007</v>
      </c>
      <c r="L78" s="184">
        <f t="shared" si="94"/>
        <v>9.0500000000000007</v>
      </c>
      <c r="M78" s="184">
        <f t="shared" si="94"/>
        <v>9.0500000000000007</v>
      </c>
      <c r="N78" s="184">
        <f t="shared" si="94"/>
        <v>9.0500000000000007</v>
      </c>
      <c r="O78" s="184"/>
      <c r="P78" s="184"/>
      <c r="Q78" s="184"/>
      <c r="R78" s="184"/>
      <c r="S78" s="184"/>
      <c r="T78" s="184"/>
      <c r="U78" s="184">
        <v>93.9</v>
      </c>
      <c r="V78" s="184">
        <v>90.43</v>
      </c>
      <c r="W78" s="184">
        <v>93</v>
      </c>
      <c r="X78" s="184">
        <v>93</v>
      </c>
      <c r="Y78" s="184">
        <v>93</v>
      </c>
      <c r="Z78" s="184">
        <v>93</v>
      </c>
      <c r="AA78" s="166">
        <f>AG78/U78/12*1000000</f>
        <v>37426.340078097259</v>
      </c>
      <c r="AB78" s="166">
        <f t="shared" ref="AB78:AE78" si="95">AH78/V78/12*1000000</f>
        <v>42887.684765380211</v>
      </c>
      <c r="AC78" s="166">
        <f t="shared" si="95"/>
        <v>43954.444444444445</v>
      </c>
      <c r="AD78" s="166">
        <f t="shared" si="95"/>
        <v>45185.168888888882</v>
      </c>
      <c r="AE78" s="166">
        <f t="shared" si="95"/>
        <v>46450.353617777771</v>
      </c>
      <c r="AF78" s="158">
        <f>AL78/Z78/12*1000000</f>
        <v>47750.963519075543</v>
      </c>
      <c r="AG78" s="185">
        <v>42.171999999999997</v>
      </c>
      <c r="AH78" s="185">
        <v>46.54</v>
      </c>
      <c r="AI78" s="185">
        <f>AH78*$AM$16</f>
        <v>49.053159999999998</v>
      </c>
      <c r="AJ78" s="185">
        <f>AI78*$AN$16</f>
        <v>50.426648479999997</v>
      </c>
      <c r="AK78" s="185">
        <f>AJ78*$AO$16</f>
        <v>51.838594637439996</v>
      </c>
      <c r="AL78" s="185">
        <f>AK78*$AP$16</f>
        <v>53.290075287288317</v>
      </c>
    </row>
    <row r="79" spans="1:38" s="171" customFormat="1" ht="31.5" x14ac:dyDescent="0.25">
      <c r="A79" s="205" t="s">
        <v>477</v>
      </c>
      <c r="B79" s="170" t="s">
        <v>442</v>
      </c>
      <c r="C79" s="158">
        <v>80.959999999999994</v>
      </c>
      <c r="D79" s="158">
        <v>95.626000000000005</v>
      </c>
      <c r="E79" s="158">
        <v>95.513000000000005</v>
      </c>
      <c r="F79" s="158">
        <v>92.435000000000002</v>
      </c>
      <c r="G79" s="158">
        <v>92.435000000000002</v>
      </c>
      <c r="H79" s="158">
        <v>92.435000000000002</v>
      </c>
      <c r="I79" s="158">
        <v>80.959999999999994</v>
      </c>
      <c r="J79" s="158">
        <v>95.626000000000005</v>
      </c>
      <c r="K79" s="158">
        <v>95.513000000000005</v>
      </c>
      <c r="L79" s="158">
        <v>92.435000000000002</v>
      </c>
      <c r="M79" s="158">
        <v>92.435000000000002</v>
      </c>
      <c r="N79" s="158">
        <v>92.435000000000002</v>
      </c>
      <c r="O79" s="158">
        <v>1.214</v>
      </c>
      <c r="P79" s="158">
        <v>0.30399999999999999</v>
      </c>
      <c r="Q79" s="158">
        <v>0.4</v>
      </c>
      <c r="R79" s="158">
        <v>0.4</v>
      </c>
      <c r="S79" s="158">
        <v>0.4</v>
      </c>
      <c r="T79" s="158">
        <v>0.4</v>
      </c>
      <c r="U79" s="158">
        <v>104</v>
      </c>
      <c r="V79" s="158">
        <v>108.2</v>
      </c>
      <c r="W79" s="158">
        <v>106.9</v>
      </c>
      <c r="X79" s="158">
        <v>106.9</v>
      </c>
      <c r="Y79" s="158">
        <v>106.9</v>
      </c>
      <c r="Z79" s="158">
        <v>106.9</v>
      </c>
      <c r="AA79" s="166">
        <f t="shared" ref="AA79:AA80" si="96">AG79/U79/12*1000000</f>
        <v>34201.121794871797</v>
      </c>
      <c r="AB79" s="166">
        <f t="shared" si="90"/>
        <v>40565.311152187307</v>
      </c>
      <c r="AC79" s="166">
        <f t="shared" si="90"/>
        <v>42422.045525413159</v>
      </c>
      <c r="AD79" s="166">
        <f t="shared" si="90"/>
        <v>42422.045525413159</v>
      </c>
      <c r="AE79" s="166">
        <f t="shared" si="90"/>
        <v>42422.045525413159</v>
      </c>
      <c r="AF79" s="158">
        <f>AL79/Z79/12*1000000</f>
        <v>42422.045525413159</v>
      </c>
      <c r="AG79" s="166">
        <v>42.683</v>
      </c>
      <c r="AH79" s="166">
        <v>52.67</v>
      </c>
      <c r="AI79" s="185">
        <v>54.418999999999997</v>
      </c>
      <c r="AJ79" s="185">
        <v>54.418999999999997</v>
      </c>
      <c r="AK79" s="185">
        <v>54.418999999999997</v>
      </c>
      <c r="AL79" s="185">
        <v>54.418999999999997</v>
      </c>
    </row>
    <row r="80" spans="1:38" s="171" customFormat="1" ht="15.75" x14ac:dyDescent="0.25">
      <c r="A80" s="205" t="s">
        <v>478</v>
      </c>
      <c r="B80" s="170" t="s">
        <v>436</v>
      </c>
      <c r="C80" s="158">
        <v>32.006</v>
      </c>
      <c r="D80" s="158">
        <v>31.625</v>
      </c>
      <c r="E80" s="158">
        <f>7.789*4</f>
        <v>31.155999999999999</v>
      </c>
      <c r="F80" s="158">
        <f>E80*104.9%</f>
        <v>32.682644000000003</v>
      </c>
      <c r="G80" s="158">
        <f>F80*104%</f>
        <v>33.989949760000002</v>
      </c>
      <c r="H80" s="158">
        <f>G80*104%</f>
        <v>35.349547750400006</v>
      </c>
      <c r="I80" s="158">
        <f>C80</f>
        <v>32.006</v>
      </c>
      <c r="J80" s="158">
        <f t="shared" ref="J80:N84" si="97">D80</f>
        <v>31.625</v>
      </c>
      <c r="K80" s="158">
        <f t="shared" si="97"/>
        <v>31.155999999999999</v>
      </c>
      <c r="L80" s="158">
        <f t="shared" si="97"/>
        <v>32.682644000000003</v>
      </c>
      <c r="M80" s="158">
        <f t="shared" si="97"/>
        <v>33.989949760000002</v>
      </c>
      <c r="N80" s="158">
        <f t="shared" si="97"/>
        <v>35.349547750400006</v>
      </c>
      <c r="O80" s="158"/>
      <c r="P80" s="158">
        <v>-1.4970000000000001</v>
      </c>
      <c r="Q80" s="158"/>
      <c r="R80" s="158"/>
      <c r="S80" s="158"/>
      <c r="T80" s="158"/>
      <c r="U80" s="158">
        <v>68</v>
      </c>
      <c r="V80" s="158">
        <v>72</v>
      </c>
      <c r="W80" s="158">
        <v>70</v>
      </c>
      <c r="X80" s="158">
        <v>70</v>
      </c>
      <c r="Y80" s="158">
        <v>70</v>
      </c>
      <c r="Z80" s="158">
        <v>70</v>
      </c>
      <c r="AA80" s="166">
        <f t="shared" si="96"/>
        <v>24914.215686274511</v>
      </c>
      <c r="AB80" s="166">
        <f>AH80/V80/12*1000000</f>
        <v>24041.666666666664</v>
      </c>
      <c r="AC80" s="166">
        <f t="shared" si="90"/>
        <v>26063.914285714291</v>
      </c>
      <c r="AD80" s="166">
        <f t="shared" si="90"/>
        <v>26793.703885714287</v>
      </c>
      <c r="AE80" s="166">
        <f t="shared" si="90"/>
        <v>27543.927594514284</v>
      </c>
      <c r="AF80" s="158">
        <f>AL80/Z80/12*1000000</f>
        <v>28315.157567160688</v>
      </c>
      <c r="AG80" s="166">
        <v>20.329999999999998</v>
      </c>
      <c r="AH80" s="166">
        <v>20.771999999999998</v>
      </c>
      <c r="AI80" s="185">
        <f t="shared" ref="AI80:AI81" si="98">AH80*$AM$16</f>
        <v>21.893688000000001</v>
      </c>
      <c r="AJ80" s="185">
        <f t="shared" ref="AJ80:AJ82" si="99">AI80*$AN$16</f>
        <v>22.506711264</v>
      </c>
      <c r="AK80" s="185">
        <f t="shared" ref="AK80:AK82" si="100">AJ80*$AO$16</f>
        <v>23.136899179392</v>
      </c>
      <c r="AL80" s="185">
        <f t="shared" ref="AL80:AL82" si="101">AK80*$AP$16</f>
        <v>23.784732356414978</v>
      </c>
    </row>
    <row r="81" spans="1:39" s="171" customFormat="1" ht="15.75" x14ac:dyDescent="0.25">
      <c r="A81" s="174" t="s">
        <v>479</v>
      </c>
      <c r="B81" s="170" t="s">
        <v>436</v>
      </c>
      <c r="C81" s="158">
        <v>421.46199999999999</v>
      </c>
      <c r="D81" s="158">
        <v>412.95</v>
      </c>
      <c r="E81" s="158">
        <f>101.194*4</f>
        <v>404.77600000000001</v>
      </c>
      <c r="F81" s="158">
        <f>E81*104.9%</f>
        <v>424.61002400000007</v>
      </c>
      <c r="G81" s="158">
        <f>F81*104%</f>
        <v>441.59442496000008</v>
      </c>
      <c r="H81" s="158">
        <f>G81*104%</f>
        <v>459.25820195840009</v>
      </c>
      <c r="I81" s="158">
        <f>C81</f>
        <v>421.46199999999999</v>
      </c>
      <c r="J81" s="158">
        <f t="shared" si="97"/>
        <v>412.95</v>
      </c>
      <c r="K81" s="158">
        <f t="shared" si="97"/>
        <v>404.77600000000001</v>
      </c>
      <c r="L81" s="158">
        <f t="shared" si="97"/>
        <v>424.61002400000007</v>
      </c>
      <c r="M81" s="158">
        <f t="shared" si="97"/>
        <v>441.59442496000008</v>
      </c>
      <c r="N81" s="158">
        <f t="shared" si="97"/>
        <v>459.25820195840009</v>
      </c>
      <c r="O81" s="158"/>
      <c r="P81" s="158"/>
      <c r="Q81" s="158"/>
      <c r="R81" s="158"/>
      <c r="S81" s="158"/>
      <c r="T81" s="158"/>
      <c r="U81" s="158">
        <v>422</v>
      </c>
      <c r="V81" s="158">
        <v>408</v>
      </c>
      <c r="W81" s="158">
        <v>409</v>
      </c>
      <c r="X81" s="158">
        <v>409</v>
      </c>
      <c r="Y81" s="158">
        <v>409</v>
      </c>
      <c r="Z81" s="158">
        <v>409</v>
      </c>
      <c r="AA81" s="166">
        <f>AG81/U81/12*1000000</f>
        <v>46721.761453396524</v>
      </c>
      <c r="AB81" s="166">
        <f t="shared" si="90"/>
        <v>51447.916666666672</v>
      </c>
      <c r="AC81" s="166">
        <f t="shared" si="90"/>
        <v>54093.522004889979</v>
      </c>
      <c r="AD81" s="166">
        <f>AJ81/X81/12*1000000</f>
        <v>55608.140621026905</v>
      </c>
      <c r="AE81" s="166">
        <f t="shared" si="90"/>
        <v>57165.168558415666</v>
      </c>
      <c r="AF81" s="158">
        <f t="shared" si="90"/>
        <v>58765.793278051307</v>
      </c>
      <c r="AG81" s="166">
        <v>236.59899999999999</v>
      </c>
      <c r="AH81" s="166">
        <v>251.88900000000001</v>
      </c>
      <c r="AI81" s="185">
        <f t="shared" si="98"/>
        <v>265.49100600000003</v>
      </c>
      <c r="AJ81" s="185">
        <f t="shared" si="99"/>
        <v>272.92475416800005</v>
      </c>
      <c r="AK81" s="185">
        <f t="shared" si="100"/>
        <v>280.56664728470406</v>
      </c>
      <c r="AL81" s="185">
        <f t="shared" si="101"/>
        <v>288.4225134086758</v>
      </c>
    </row>
    <row r="82" spans="1:39" s="171" customFormat="1" ht="15.75" x14ac:dyDescent="0.25">
      <c r="A82" s="174" t="s">
        <v>480</v>
      </c>
      <c r="B82" s="170" t="s">
        <v>436</v>
      </c>
      <c r="C82" s="158">
        <v>36.167000000000002</v>
      </c>
      <c r="D82" s="158">
        <v>37.677</v>
      </c>
      <c r="E82" s="158">
        <v>39.445</v>
      </c>
      <c r="F82" s="158">
        <v>39.445</v>
      </c>
      <c r="G82" s="158">
        <v>39.445</v>
      </c>
      <c r="H82" s="158">
        <v>39.445</v>
      </c>
      <c r="I82" s="158">
        <f>C82</f>
        <v>36.167000000000002</v>
      </c>
      <c r="J82" s="158">
        <f t="shared" si="97"/>
        <v>37.677</v>
      </c>
      <c r="K82" s="158">
        <f t="shared" si="97"/>
        <v>39.445</v>
      </c>
      <c r="L82" s="158">
        <f t="shared" si="97"/>
        <v>39.445</v>
      </c>
      <c r="M82" s="158">
        <f t="shared" si="97"/>
        <v>39.445</v>
      </c>
      <c r="N82" s="158">
        <f t="shared" si="97"/>
        <v>39.445</v>
      </c>
      <c r="O82" s="158"/>
      <c r="P82" s="158"/>
      <c r="Q82" s="158"/>
      <c r="R82" s="158"/>
      <c r="S82" s="158"/>
      <c r="T82" s="158"/>
      <c r="U82" s="158">
        <v>87</v>
      </c>
      <c r="V82" s="158">
        <v>87</v>
      </c>
      <c r="W82" s="158">
        <v>87</v>
      </c>
      <c r="X82" s="158">
        <v>87</v>
      </c>
      <c r="Y82" s="158">
        <v>87</v>
      </c>
      <c r="Z82" s="158">
        <v>87</v>
      </c>
      <c r="AA82" s="166">
        <f t="shared" ref="AA82" si="102">AG82/U82/12*1000000</f>
        <v>29805.555555555558</v>
      </c>
      <c r="AB82" s="166">
        <f t="shared" si="90"/>
        <v>34909.961685823757</v>
      </c>
      <c r="AC82" s="166">
        <f t="shared" si="90"/>
        <v>42441.570881226049</v>
      </c>
      <c r="AD82" s="166">
        <f t="shared" si="90"/>
        <v>43629.934865900388</v>
      </c>
      <c r="AE82" s="166">
        <f>AK82/Y82/12*1000000</f>
        <v>44851.573042145596</v>
      </c>
      <c r="AF82" s="158">
        <f>AL82/Z82/12*1000000</f>
        <v>46107.417087325681</v>
      </c>
      <c r="AG82" s="166">
        <v>31.117000000000001</v>
      </c>
      <c r="AH82" s="166">
        <v>36.445999999999998</v>
      </c>
      <c r="AI82" s="185">
        <v>44.308999999999997</v>
      </c>
      <c r="AJ82" s="185">
        <f t="shared" si="99"/>
        <v>45.549652000000002</v>
      </c>
      <c r="AK82" s="185">
        <f t="shared" si="100"/>
        <v>46.825042256000003</v>
      </c>
      <c r="AL82" s="185">
        <f t="shared" si="101"/>
        <v>48.136143439168002</v>
      </c>
    </row>
    <row r="83" spans="1:39" s="171" customFormat="1" ht="15.75" x14ac:dyDescent="0.25">
      <c r="A83" s="174" t="s">
        <v>481</v>
      </c>
      <c r="B83" s="170" t="s">
        <v>442</v>
      </c>
      <c r="C83" s="162">
        <v>304.47300000000001</v>
      </c>
      <c r="D83" s="162">
        <v>365.31099999999998</v>
      </c>
      <c r="E83" s="162">
        <v>377.33300000000003</v>
      </c>
      <c r="F83" s="162">
        <v>442.65100000000001</v>
      </c>
      <c r="G83" s="162">
        <v>537.01700000000005</v>
      </c>
      <c r="H83" s="162">
        <v>564.64400000000001</v>
      </c>
      <c r="I83" s="162">
        <f>C83</f>
        <v>304.47300000000001</v>
      </c>
      <c r="J83" s="162">
        <f t="shared" si="97"/>
        <v>365.31099999999998</v>
      </c>
      <c r="K83" s="162">
        <f t="shared" si="97"/>
        <v>377.33300000000003</v>
      </c>
      <c r="L83" s="162">
        <f t="shared" si="97"/>
        <v>442.65100000000001</v>
      </c>
      <c r="M83" s="162">
        <f t="shared" si="97"/>
        <v>537.01700000000005</v>
      </c>
      <c r="N83" s="162">
        <f t="shared" si="97"/>
        <v>564.64400000000001</v>
      </c>
      <c r="O83" s="162">
        <v>48.610999999999997</v>
      </c>
      <c r="P83" s="162">
        <v>21.177</v>
      </c>
      <c r="Q83" s="162">
        <v>18.148</v>
      </c>
      <c r="R83" s="162">
        <v>21.289000000000001</v>
      </c>
      <c r="S83" s="162">
        <v>25.827999999999999</v>
      </c>
      <c r="T83" s="162">
        <v>27.155999999999999</v>
      </c>
      <c r="U83" s="162">
        <v>207</v>
      </c>
      <c r="V83" s="162">
        <v>216</v>
      </c>
      <c r="W83" s="162">
        <v>224</v>
      </c>
      <c r="X83" s="162">
        <v>252</v>
      </c>
      <c r="Y83" s="162">
        <v>264</v>
      </c>
      <c r="Z83" s="162">
        <v>264</v>
      </c>
      <c r="AA83" s="181">
        <f>AG83/U83*1000000/12</f>
        <v>46212.962962962971</v>
      </c>
      <c r="AB83" s="181">
        <f t="shared" ref="AB83:AF83" si="103">AH83/V83*1000000/12</f>
        <v>55369.984567901236</v>
      </c>
      <c r="AC83" s="181">
        <f t="shared" si="103"/>
        <v>54179.6875</v>
      </c>
      <c r="AD83" s="181">
        <f t="shared" si="103"/>
        <v>56496.362433862436</v>
      </c>
      <c r="AE83" s="181">
        <f t="shared" si="103"/>
        <v>65424.873737373731</v>
      </c>
      <c r="AF83" s="162">
        <f t="shared" si="103"/>
        <v>68790.719696969696</v>
      </c>
      <c r="AG83" s="181">
        <v>114.79300000000001</v>
      </c>
      <c r="AH83" s="181">
        <v>143.51900000000001</v>
      </c>
      <c r="AI83" s="185">
        <v>145.63499999999999</v>
      </c>
      <c r="AJ83" s="185">
        <v>170.845</v>
      </c>
      <c r="AK83" s="185">
        <v>207.26599999999999</v>
      </c>
      <c r="AL83" s="185">
        <v>217.929</v>
      </c>
    </row>
    <row r="84" spans="1:39" s="227" customFormat="1" ht="31.5" x14ac:dyDescent="0.25">
      <c r="A84" s="176" t="s">
        <v>482</v>
      </c>
      <c r="B84" s="328"/>
      <c r="C84" s="355">
        <f>'Прогноз 2024-2026 '!C8</f>
        <v>14448.552770000002</v>
      </c>
      <c r="D84" s="355">
        <f>'Прогноз 2024-2026 '!D8</f>
        <v>12184.12</v>
      </c>
      <c r="E84" s="355">
        <f>'Прогноз 2024-2026 '!E8</f>
        <v>12163.999999999998</v>
      </c>
      <c r="F84" s="355">
        <f>'Прогноз 2024-2026 '!G8</f>
        <v>12649.550000000001</v>
      </c>
      <c r="G84" s="355">
        <f>'Прогноз 2024-2026 '!H8</f>
        <v>13104.309999999998</v>
      </c>
      <c r="H84" s="355">
        <f>'Прогноз 2024-2026 '!I8</f>
        <v>13575.28</v>
      </c>
      <c r="I84" s="317">
        <f>C84</f>
        <v>14448.552770000002</v>
      </c>
      <c r="J84" s="317">
        <f t="shared" si="97"/>
        <v>12184.12</v>
      </c>
      <c r="K84" s="317">
        <f t="shared" si="97"/>
        <v>12163.999999999998</v>
      </c>
      <c r="L84" s="356">
        <f t="shared" si="97"/>
        <v>12649.550000000001</v>
      </c>
      <c r="M84" s="356">
        <f t="shared" si="97"/>
        <v>13104.309999999998</v>
      </c>
      <c r="N84" s="356">
        <f t="shared" si="97"/>
        <v>13575.28</v>
      </c>
      <c r="O84" s="356">
        <f>O83+O79+O74+O68+O63+O62+O61+O57+O53+O48+O46+O45+O31+O28+O24</f>
        <v>249.17000000000007</v>
      </c>
      <c r="P84" s="356">
        <f>P83+P79+P74+P68+P63+P62+P61+P52+P53+P48+P46+P45+P31+P28+P24</f>
        <v>178.92099999999999</v>
      </c>
      <c r="Q84" s="356">
        <f>Q83+Q79+Q74+Q68+Q63+Q62+Q61+Q57+Q52+Q48+Q46+Q45+Q31+Q28+Q24</f>
        <v>72.173000000000002</v>
      </c>
      <c r="R84" s="356">
        <f t="shared" ref="R84:T84" si="104">R83+R79+R74+R68+R63+R62+R61+R57+R53+R48+R46+R45+R31+R28+R24</f>
        <v>72.683999999999997</v>
      </c>
      <c r="S84" s="356">
        <f t="shared" si="104"/>
        <v>77.462999999999994</v>
      </c>
      <c r="T84" s="356">
        <f t="shared" si="104"/>
        <v>79.039999999999992</v>
      </c>
      <c r="U84" s="357">
        <v>13241</v>
      </c>
      <c r="V84" s="357">
        <v>13344</v>
      </c>
      <c r="W84" s="357">
        <v>13347</v>
      </c>
      <c r="X84" s="357">
        <v>13347</v>
      </c>
      <c r="Y84" s="357">
        <v>13347</v>
      </c>
      <c r="Z84" s="357">
        <v>13347</v>
      </c>
      <c r="AA84" s="358">
        <f>'[2]Прогноз 2022-2024 '!C123</f>
        <v>30906.6</v>
      </c>
      <c r="AB84" s="358">
        <f>'[2]Прогноз 2022-2024 '!D123</f>
        <v>32581.101986736008</v>
      </c>
      <c r="AC84" s="358">
        <f>'[2]Прогноз 2022-2024 '!E123</f>
        <v>31399.499315756588</v>
      </c>
      <c r="AD84" s="358">
        <f>'[2]Прогноз 2022-2024 '!F123</f>
        <v>30300.152739877631</v>
      </c>
      <c r="AE84" s="358">
        <f>'[2]Прогноз 2022-2024 '!H123</f>
        <v>30390.590438961684</v>
      </c>
      <c r="AF84" s="358">
        <f>'[2]Прогноз 2022-2024 '!I123</f>
        <v>30725.327377129961</v>
      </c>
      <c r="AG84" s="358">
        <f>'Прогноз 2024-2026 '!C147</f>
        <v>5176.8764568764573</v>
      </c>
      <c r="AH84" s="358">
        <f>'Прогноз 2024-2026 '!D147</f>
        <v>5452.51</v>
      </c>
      <c r="AI84" s="358">
        <f>'Прогноз 2024-2026 '!E147</f>
        <v>5746.9463869463871</v>
      </c>
      <c r="AJ84" s="358">
        <f>'Прогноз 2024-2026 '!G147</f>
        <v>5907.6923076923085</v>
      </c>
      <c r="AK84" s="358">
        <f>'Прогноз 2024-2026 '!H147</f>
        <v>6073.1002331002337</v>
      </c>
      <c r="AL84" s="358">
        <f>'Прогноз 2024-2026 '!I147</f>
        <v>6224.8951048951049</v>
      </c>
    </row>
    <row r="85" spans="1:39" x14ac:dyDescent="0.2">
      <c r="O85" s="217"/>
      <c r="P85" s="217"/>
      <c r="Q85" s="217"/>
      <c r="R85" s="217"/>
      <c r="S85" s="217"/>
      <c r="T85" s="217"/>
      <c r="U85" s="216"/>
      <c r="V85" s="216"/>
      <c r="W85" s="216"/>
      <c r="X85" s="216"/>
      <c r="Y85" s="216"/>
      <c r="Z85" s="216"/>
    </row>
    <row r="86" spans="1:39" s="79" customFormat="1" ht="15.75" x14ac:dyDescent="0.2">
      <c r="A86" s="187"/>
      <c r="I86" s="188"/>
      <c r="J86" s="188"/>
      <c r="K86" s="188"/>
      <c r="L86" s="188"/>
      <c r="M86" s="188"/>
      <c r="N86" s="188"/>
      <c r="U86" s="188"/>
      <c r="V86" s="188"/>
      <c r="W86" s="188"/>
      <c r="X86" s="188"/>
      <c r="Y86" s="188"/>
      <c r="Z86" s="188"/>
    </row>
    <row r="87" spans="1:39" x14ac:dyDescent="0.2">
      <c r="J87" s="189"/>
    </row>
    <row r="88" spans="1:39" x14ac:dyDescent="0.2">
      <c r="I88" s="190"/>
      <c r="J88" s="190"/>
      <c r="K88" s="190"/>
      <c r="L88" s="190"/>
      <c r="M88" s="190"/>
      <c r="N88" s="190"/>
    </row>
    <row r="92" spans="1:39" x14ac:dyDescent="0.2">
      <c r="AG92" s="155"/>
      <c r="AH92" s="155"/>
      <c r="AI92" s="155"/>
      <c r="AJ92" s="155"/>
      <c r="AK92" s="155"/>
      <c r="AL92" s="155"/>
      <c r="AM92" s="228"/>
    </row>
    <row r="93" spans="1:39" x14ac:dyDescent="0.2">
      <c r="AG93" s="218">
        <f t="shared" ref="AG93:AL93" si="105">AG8+AG13+AG19+AG42+AG49+AG55+AG59+AG65+AG72+AG76</f>
        <v>5471.4675754796635</v>
      </c>
      <c r="AH93" s="218">
        <f t="shared" si="105"/>
        <v>5923.0275358385734</v>
      </c>
      <c r="AI93" s="218">
        <f t="shared" si="105"/>
        <v>5678.4975767234264</v>
      </c>
      <c r="AJ93" s="218">
        <f t="shared" si="105"/>
        <v>5479.7501615381061</v>
      </c>
      <c r="AK93" s="218">
        <f t="shared" si="105"/>
        <v>5722.7016664157854</v>
      </c>
      <c r="AL93" s="218">
        <f t="shared" si="105"/>
        <v>5749.4885682022559</v>
      </c>
      <c r="AM93" s="228"/>
    </row>
    <row r="94" spans="1:39" x14ac:dyDescent="0.2">
      <c r="AG94" s="218">
        <f>AG93-AG84</f>
        <v>294.59111860320627</v>
      </c>
      <c r="AH94" s="218">
        <f t="shared" ref="AH94:AL94" si="106">AH93-AH84</f>
        <v>470.51753583857317</v>
      </c>
      <c r="AI94" s="218">
        <f t="shared" si="106"/>
        <v>-68.448810222960674</v>
      </c>
      <c r="AJ94" s="218">
        <f t="shared" si="106"/>
        <v>-427.94214615420242</v>
      </c>
      <c r="AK94" s="218">
        <f t="shared" si="106"/>
        <v>-350.39856668444827</v>
      </c>
      <c r="AL94" s="218">
        <f t="shared" si="106"/>
        <v>-475.40653669284893</v>
      </c>
      <c r="AM94" s="228"/>
    </row>
    <row r="95" spans="1:39" x14ac:dyDescent="0.2">
      <c r="AG95" s="79"/>
      <c r="AH95" s="79"/>
      <c r="AI95" s="79"/>
      <c r="AJ95" s="79"/>
      <c r="AK95" s="79"/>
      <c r="AL95" s="79"/>
    </row>
  </sheetData>
  <mergeCells count="38">
    <mergeCell ref="AI6:AI7"/>
    <mergeCell ref="AJ6:AL6"/>
    <mergeCell ref="L1:T1"/>
    <mergeCell ref="AA6:AA7"/>
    <mergeCell ref="AB6:AB7"/>
    <mergeCell ref="AC6:AC7"/>
    <mergeCell ref="AD6:AF6"/>
    <mergeCell ref="AG6:AG7"/>
    <mergeCell ref="AH6:AH7"/>
    <mergeCell ref="Q6:Q7"/>
    <mergeCell ref="R6:T6"/>
    <mergeCell ref="U6:U7"/>
    <mergeCell ref="V6:V7"/>
    <mergeCell ref="W6:W7"/>
    <mergeCell ref="X6:Z6"/>
    <mergeCell ref="P6:P7"/>
    <mergeCell ref="U4:AL4"/>
    <mergeCell ref="C5:H5"/>
    <mergeCell ref="I5:N5"/>
    <mergeCell ref="O5:T5"/>
    <mergeCell ref="U5:Z5"/>
    <mergeCell ref="AA5:AF5"/>
    <mergeCell ref="AG5:AL5"/>
    <mergeCell ref="C2:P2"/>
    <mergeCell ref="Q2:T2"/>
    <mergeCell ref="A4:A7"/>
    <mergeCell ref="B4:B7"/>
    <mergeCell ref="C4:H4"/>
    <mergeCell ref="I4:T4"/>
    <mergeCell ref="C6:C7"/>
    <mergeCell ref="D6:D7"/>
    <mergeCell ref="E6:E7"/>
    <mergeCell ref="F6:H6"/>
    <mergeCell ref="I6:I7"/>
    <mergeCell ref="J6:J7"/>
    <mergeCell ref="K6:K7"/>
    <mergeCell ref="L6:N6"/>
    <mergeCell ref="O6:O7"/>
  </mergeCells>
  <printOptions horizontalCentered="1"/>
  <pageMargins left="0.19685039370078741" right="0" top="0.19685039370078741" bottom="0.19685039370078741" header="0.11811023622047245" footer="0.11811023622047245"/>
  <pageSetup paperSize="9" scale="55" fitToWidth="0" fitToHeight="0" orientation="landscape" r:id="rId1"/>
  <headerFooter alignWithMargins="0"/>
  <colBreaks count="1" manualBreakCount="1">
    <brk id="20" max="83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>
    <tabColor indexed="50"/>
  </sheetPr>
  <dimension ref="A1:AF337"/>
  <sheetViews>
    <sheetView view="pageBreakPreview" zoomScale="51" zoomScaleNormal="60" zoomScaleSheetLayoutView="51" workbookViewId="0">
      <pane xSplit="9" ySplit="1" topLeftCell="J11" activePane="bottomRight" state="frozen"/>
      <selection pane="topRight" activeCell="J1" sqref="J1"/>
      <selection pane="bottomLeft" activeCell="A11" sqref="A11"/>
      <selection pane="bottomRight" activeCell="F77" sqref="F77"/>
    </sheetView>
  </sheetViews>
  <sheetFormatPr defaultRowHeight="12.75" x14ac:dyDescent="0.2"/>
  <cols>
    <col min="1" max="1" width="94.28515625" customWidth="1"/>
    <col min="2" max="2" width="24.28515625" style="47" customWidth="1"/>
    <col min="3" max="3" width="13.5703125" hidden="1" customWidth="1"/>
    <col min="4" max="5" width="13.5703125" bestFit="1" customWidth="1"/>
    <col min="6" max="6" width="13.7109375" customWidth="1"/>
    <col min="7" max="7" width="13.85546875" bestFit="1" customWidth="1"/>
    <col min="8" max="8" width="15.85546875" bestFit="1" customWidth="1"/>
    <col min="9" max="9" width="17.140625" customWidth="1"/>
    <col min="10" max="10" width="24.140625" style="39" customWidth="1"/>
    <col min="11" max="11" width="17.28515625" hidden="1" customWidth="1"/>
    <col min="12" max="12" width="22" customWidth="1"/>
    <col min="13" max="13" width="26" customWidth="1"/>
    <col min="14" max="14" width="17.28515625" bestFit="1" customWidth="1"/>
    <col min="15" max="15" width="22.28515625" customWidth="1"/>
    <col min="16" max="16" width="21.5703125" customWidth="1"/>
    <col min="17" max="17" width="20.85546875" customWidth="1"/>
    <col min="18" max="18" width="16.5703125" customWidth="1"/>
    <col min="19" max="20" width="16.5703125" bestFit="1" customWidth="1"/>
    <col min="21" max="21" width="16.7109375" bestFit="1" customWidth="1"/>
    <col min="22" max="22" width="17.85546875" customWidth="1"/>
    <col min="23" max="23" width="17.5703125" customWidth="1"/>
    <col min="24" max="24" width="23.7109375" customWidth="1"/>
    <col min="25" max="27" width="13.5703125" bestFit="1" customWidth="1"/>
  </cols>
  <sheetData>
    <row r="1" spans="1:32" ht="91.5" customHeight="1" x14ac:dyDescent="0.2">
      <c r="A1" s="37"/>
      <c r="B1" s="39"/>
      <c r="C1" s="37"/>
      <c r="D1" s="37"/>
      <c r="E1" s="37"/>
      <c r="F1" s="37"/>
      <c r="G1" s="37"/>
      <c r="H1" s="37"/>
      <c r="I1" s="37"/>
      <c r="J1" s="38"/>
      <c r="K1" s="38"/>
      <c r="L1" s="38"/>
      <c r="M1" s="38"/>
      <c r="N1" s="38"/>
      <c r="O1" s="464" t="s">
        <v>483</v>
      </c>
      <c r="P1" s="464"/>
      <c r="Q1" s="464"/>
      <c r="R1" s="464"/>
      <c r="S1" s="464"/>
      <c r="T1" s="464"/>
      <c r="U1" s="464"/>
      <c r="V1" s="464"/>
      <c r="W1" s="73"/>
      <c r="X1" s="73"/>
      <c r="Y1" s="73"/>
      <c r="Z1" s="73"/>
      <c r="AA1" s="73"/>
    </row>
    <row r="2" spans="1:32" ht="82.5" customHeight="1" x14ac:dyDescent="0.2">
      <c r="A2" s="465" t="s">
        <v>64</v>
      </c>
      <c r="B2" s="465"/>
      <c r="C2" s="465"/>
      <c r="D2" s="465"/>
      <c r="E2" s="465"/>
      <c r="F2" s="465"/>
      <c r="G2" s="465"/>
      <c r="H2" s="465"/>
      <c r="I2" s="465"/>
      <c r="J2" s="465"/>
      <c r="K2" s="465"/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74"/>
    </row>
    <row r="3" spans="1:32" ht="20.25" x14ac:dyDescent="0.2">
      <c r="A3" s="466" t="s">
        <v>25</v>
      </c>
      <c r="B3" s="466"/>
      <c r="C3" s="466"/>
      <c r="D3" s="466"/>
      <c r="E3" s="466"/>
      <c r="F3" s="466"/>
      <c r="G3" s="466"/>
      <c r="H3" s="466"/>
      <c r="I3" s="466"/>
      <c r="J3" s="466"/>
      <c r="K3" s="466"/>
      <c r="L3" s="466"/>
      <c r="M3" s="466"/>
      <c r="N3" s="466"/>
      <c r="O3" s="466"/>
      <c r="P3" s="466"/>
      <c r="Q3" s="466"/>
      <c r="R3" s="466"/>
      <c r="S3" s="466"/>
      <c r="T3" s="466"/>
      <c r="U3" s="466"/>
      <c r="V3" s="75"/>
    </row>
    <row r="5" spans="1:32" ht="97.5" customHeight="1" x14ac:dyDescent="0.3">
      <c r="A5" s="476" t="s">
        <v>56</v>
      </c>
      <c r="B5" s="467" t="s">
        <v>65</v>
      </c>
      <c r="C5" s="468"/>
      <c r="D5" s="468"/>
      <c r="E5" s="468"/>
      <c r="F5" s="468"/>
      <c r="G5" s="468"/>
      <c r="H5" s="468"/>
      <c r="I5" s="469"/>
      <c r="J5" s="470" t="s">
        <v>26</v>
      </c>
      <c r="K5" s="467" t="s">
        <v>377</v>
      </c>
      <c r="L5" s="468"/>
      <c r="M5" s="468"/>
      <c r="N5" s="468"/>
      <c r="O5" s="468"/>
      <c r="P5" s="468"/>
      <c r="Q5" s="469"/>
      <c r="R5" s="471" t="s">
        <v>134</v>
      </c>
      <c r="S5" s="472"/>
      <c r="T5" s="472"/>
      <c r="U5" s="472"/>
      <c r="V5" s="472"/>
      <c r="W5" s="201"/>
      <c r="X5" s="201"/>
      <c r="Y5" s="201"/>
      <c r="Z5" s="201"/>
      <c r="AA5" s="201"/>
      <c r="AB5" s="1"/>
      <c r="AC5" s="1"/>
      <c r="AD5" s="1"/>
      <c r="AE5" s="1"/>
      <c r="AF5" s="1"/>
    </row>
    <row r="6" spans="1:32" ht="78.75" customHeight="1" x14ac:dyDescent="0.3">
      <c r="A6" s="476"/>
      <c r="B6" s="76" t="s">
        <v>4</v>
      </c>
      <c r="C6" s="76" t="s">
        <v>378</v>
      </c>
      <c r="D6" s="196" t="s">
        <v>272</v>
      </c>
      <c r="E6" s="196" t="s">
        <v>271</v>
      </c>
      <c r="F6" s="196" t="s">
        <v>273</v>
      </c>
      <c r="G6" s="196" t="s">
        <v>275</v>
      </c>
      <c r="H6" s="196" t="s">
        <v>400</v>
      </c>
      <c r="I6" s="76" t="s">
        <v>490</v>
      </c>
      <c r="J6" s="470"/>
      <c r="K6" s="76" t="s">
        <v>378</v>
      </c>
      <c r="L6" s="196" t="s">
        <v>272</v>
      </c>
      <c r="M6" s="196" t="s">
        <v>271</v>
      </c>
      <c r="N6" s="196" t="s">
        <v>273</v>
      </c>
      <c r="O6" s="196" t="s">
        <v>275</v>
      </c>
      <c r="P6" s="196" t="s">
        <v>400</v>
      </c>
      <c r="Q6" s="196" t="s">
        <v>490</v>
      </c>
      <c r="R6" s="196" t="s">
        <v>271</v>
      </c>
      <c r="S6" s="196" t="s">
        <v>273</v>
      </c>
      <c r="T6" s="196" t="s">
        <v>275</v>
      </c>
      <c r="U6" s="196" t="s">
        <v>400</v>
      </c>
      <c r="V6" s="153" t="s">
        <v>490</v>
      </c>
      <c r="W6" s="201"/>
      <c r="AB6" s="1"/>
      <c r="AC6" s="1"/>
      <c r="AD6" s="1"/>
      <c r="AE6" s="1"/>
      <c r="AF6" s="1"/>
    </row>
    <row r="7" spans="1:32" ht="81" x14ac:dyDescent="0.25">
      <c r="A7" s="66" t="s">
        <v>27</v>
      </c>
      <c r="B7" s="67">
        <v>1</v>
      </c>
      <c r="C7" s="67">
        <v>2</v>
      </c>
      <c r="D7" s="67">
        <v>2</v>
      </c>
      <c r="E7" s="67">
        <v>3</v>
      </c>
      <c r="F7" s="67">
        <v>4</v>
      </c>
      <c r="G7" s="67">
        <v>5</v>
      </c>
      <c r="H7" s="67">
        <v>6</v>
      </c>
      <c r="I7" s="67">
        <v>7</v>
      </c>
      <c r="J7" s="67">
        <v>8</v>
      </c>
      <c r="K7" s="67">
        <v>9</v>
      </c>
      <c r="L7" s="67">
        <v>9</v>
      </c>
      <c r="M7" s="67">
        <v>10</v>
      </c>
      <c r="N7" s="67">
        <v>11</v>
      </c>
      <c r="O7" s="67">
        <v>12</v>
      </c>
      <c r="P7" s="67">
        <v>13</v>
      </c>
      <c r="Q7" s="97">
        <v>14</v>
      </c>
      <c r="R7" s="68" t="s">
        <v>379</v>
      </c>
      <c r="S7" s="68" t="s">
        <v>380</v>
      </c>
      <c r="T7" s="68" t="s">
        <v>381</v>
      </c>
      <c r="U7" s="68" t="s">
        <v>382</v>
      </c>
      <c r="V7" s="68" t="s">
        <v>383</v>
      </c>
      <c r="AB7" s="1"/>
      <c r="AC7" s="1"/>
      <c r="AD7" s="1"/>
      <c r="AE7" s="1"/>
      <c r="AF7" s="1"/>
    </row>
    <row r="8" spans="1:32" ht="27" x14ac:dyDescent="0.35">
      <c r="A8" s="477" t="s">
        <v>28</v>
      </c>
      <c r="B8" s="478"/>
      <c r="C8" s="478"/>
      <c r="D8" s="478"/>
      <c r="E8" s="478"/>
      <c r="F8" s="478"/>
      <c r="G8" s="478"/>
      <c r="H8" s="478"/>
      <c r="I8" s="478"/>
      <c r="J8" s="478"/>
      <c r="K8" s="478"/>
      <c r="L8" s="478"/>
      <c r="M8" s="478"/>
      <c r="N8" s="478"/>
      <c r="O8" s="478"/>
      <c r="P8" s="478"/>
      <c r="Q8" s="478"/>
      <c r="R8" s="478"/>
      <c r="S8" s="478"/>
      <c r="T8" s="478"/>
      <c r="U8" s="478"/>
      <c r="V8" s="478"/>
      <c r="W8" s="201"/>
      <c r="X8" s="201"/>
      <c r="Y8" s="201"/>
      <c r="Z8" s="201"/>
      <c r="AA8" s="201"/>
      <c r="AB8" s="1"/>
      <c r="AC8" s="1"/>
      <c r="AD8" s="1"/>
      <c r="AE8" s="1"/>
      <c r="AF8" s="1"/>
    </row>
    <row r="9" spans="1:32" ht="27" x14ac:dyDescent="0.25">
      <c r="A9" s="479" t="s">
        <v>257</v>
      </c>
      <c r="B9" s="480"/>
      <c r="C9" s="480"/>
      <c r="D9" s="480"/>
      <c r="E9" s="480"/>
      <c r="F9" s="480"/>
      <c r="G9" s="480"/>
      <c r="H9" s="480"/>
      <c r="I9" s="480"/>
      <c r="J9" s="480"/>
      <c r="K9" s="480"/>
      <c r="L9" s="480"/>
      <c r="M9" s="480"/>
      <c r="N9" s="480"/>
      <c r="O9" s="480"/>
      <c r="P9" s="480"/>
      <c r="Q9" s="480"/>
      <c r="R9" s="480"/>
      <c r="S9" s="480"/>
      <c r="T9" s="480"/>
      <c r="U9" s="480"/>
      <c r="V9" s="480"/>
      <c r="W9" s="202"/>
      <c r="X9" s="202"/>
      <c r="Y9" s="202"/>
      <c r="Z9" s="202"/>
      <c r="AA9" s="202"/>
    </row>
    <row r="10" spans="1:32" ht="26.25" x14ac:dyDescent="0.4">
      <c r="A10" s="65" t="s">
        <v>161</v>
      </c>
      <c r="B10" s="281"/>
      <c r="C10" s="282"/>
      <c r="D10" s="282"/>
      <c r="E10" s="282"/>
      <c r="F10" s="282"/>
      <c r="G10" s="283">
        <v>0.97299999999999998</v>
      </c>
      <c r="H10" s="283">
        <v>1.0169999999999999</v>
      </c>
      <c r="I10" s="283">
        <v>1.0149999999999999</v>
      </c>
      <c r="J10" s="281"/>
      <c r="K10" s="281"/>
      <c r="L10" s="281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155"/>
      <c r="X10" s="302">
        <v>2023</v>
      </c>
      <c r="Y10" s="302">
        <v>2024</v>
      </c>
      <c r="Z10" s="302">
        <v>2025</v>
      </c>
      <c r="AA10" s="302">
        <v>2026</v>
      </c>
      <c r="AB10" s="155"/>
    </row>
    <row r="11" spans="1:32" ht="76.5" x14ac:dyDescent="0.4">
      <c r="A11" s="10" t="s">
        <v>384</v>
      </c>
      <c r="B11" s="284" t="s">
        <v>34</v>
      </c>
      <c r="C11" s="282">
        <v>656.78</v>
      </c>
      <c r="D11" s="282">
        <v>797.27200000000005</v>
      </c>
      <c r="E11" s="282">
        <v>920.04</v>
      </c>
      <c r="F11" s="282">
        <f>E11*$X$11</f>
        <v>973.40232000000003</v>
      </c>
      <c r="G11" s="282">
        <f>F11*$Y$11</f>
        <v>1002.6043896000001</v>
      </c>
      <c r="H11" s="282">
        <f>G11*$Z$11</f>
        <v>1030.6773125088002</v>
      </c>
      <c r="I11" s="282">
        <f>H11*$AA$11</f>
        <v>1058.5055999465378</v>
      </c>
      <c r="J11" s="98">
        <v>2280</v>
      </c>
      <c r="K11" s="285">
        <f>C11*J11</f>
        <v>1497458.4</v>
      </c>
      <c r="L11" s="285">
        <f t="shared" ref="L11:Q11" si="0">D11*$J$11</f>
        <v>1817780.1600000001</v>
      </c>
      <c r="M11" s="285">
        <f t="shared" si="0"/>
        <v>2097691.1999999997</v>
      </c>
      <c r="N11" s="285">
        <f t="shared" si="0"/>
        <v>2219357.2896000003</v>
      </c>
      <c r="O11" s="285">
        <f t="shared" si="0"/>
        <v>2285938.0082880002</v>
      </c>
      <c r="P11" s="285">
        <f t="shared" si="0"/>
        <v>2349944.2725200644</v>
      </c>
      <c r="Q11" s="285">
        <f t="shared" si="0"/>
        <v>2413392.7678781063</v>
      </c>
      <c r="R11" s="286">
        <f>M11/L11*100</f>
        <v>115.39850891540149</v>
      </c>
      <c r="S11" s="286">
        <f>N11/M11*100</f>
        <v>105.80000000000003</v>
      </c>
      <c r="T11" s="286">
        <f t="shared" ref="T11:V20" si="1">O11/N11*100</f>
        <v>103</v>
      </c>
      <c r="U11" s="286">
        <f t="shared" si="1"/>
        <v>102.8</v>
      </c>
      <c r="V11" s="286">
        <f>Q11/P11*100</f>
        <v>102.70000000000002</v>
      </c>
      <c r="W11" s="303" t="s">
        <v>509</v>
      </c>
      <c r="X11" s="304">
        <v>1.0580000000000001</v>
      </c>
      <c r="Y11" s="304">
        <v>1.03</v>
      </c>
      <c r="Z11" s="305">
        <v>1.028</v>
      </c>
      <c r="AA11" s="304">
        <v>1.0269999999999999</v>
      </c>
      <c r="AB11" s="155"/>
    </row>
    <row r="12" spans="1:32" ht="26.25" hidden="1" x14ac:dyDescent="0.4">
      <c r="A12" s="10" t="s">
        <v>162</v>
      </c>
      <c r="B12" s="284" t="s">
        <v>34</v>
      </c>
      <c r="C12" s="282"/>
      <c r="D12" s="282"/>
      <c r="E12" s="282"/>
      <c r="F12" s="282">
        <f t="shared" ref="F12:F16" si="2">E12*$X$11</f>
        <v>0</v>
      </c>
      <c r="G12" s="282">
        <f t="shared" ref="G12:G17" si="3">F12*$Y$11</f>
        <v>0</v>
      </c>
      <c r="H12" s="282">
        <f t="shared" ref="H12:H17" si="4">G12*$Z$11</f>
        <v>0</v>
      </c>
      <c r="I12" s="282">
        <f t="shared" ref="I12:I16" si="5">H12*$AA$11</f>
        <v>0</v>
      </c>
      <c r="J12" s="98">
        <v>394.43</v>
      </c>
      <c r="K12" s="285">
        <f t="shared" ref="K12:K16" si="6">C12*J12</f>
        <v>0</v>
      </c>
      <c r="L12" s="281"/>
      <c r="M12" s="285">
        <f t="shared" ref="M12:M16" si="7">E12*J12</f>
        <v>0</v>
      </c>
      <c r="N12" s="285">
        <f t="shared" ref="N12:N16" si="8">F12*J12</f>
        <v>0</v>
      </c>
      <c r="O12" s="285">
        <f t="shared" ref="O12:O16" si="9">G12*J12</f>
        <v>0</v>
      </c>
      <c r="P12" s="281"/>
      <c r="Q12" s="281"/>
      <c r="R12" s="286" t="e">
        <f t="shared" ref="R12:S19" si="10">M12/L12*100</f>
        <v>#DIV/0!</v>
      </c>
      <c r="S12" s="286" t="e">
        <f t="shared" si="10"/>
        <v>#DIV/0!</v>
      </c>
      <c r="T12" s="286" t="e">
        <f t="shared" si="1"/>
        <v>#DIV/0!</v>
      </c>
      <c r="U12" s="286" t="e">
        <f t="shared" si="1"/>
        <v>#DIV/0!</v>
      </c>
      <c r="V12" s="286" t="e">
        <f t="shared" si="1"/>
        <v>#DIV/0!</v>
      </c>
      <c r="W12" s="306"/>
      <c r="X12" s="306"/>
      <c r="Y12" s="306"/>
      <c r="Z12" s="306"/>
      <c r="AA12" s="306"/>
      <c r="AB12" s="155"/>
    </row>
    <row r="13" spans="1:32" ht="26.25" hidden="1" x14ac:dyDescent="0.4">
      <c r="A13" s="10" t="s">
        <v>163</v>
      </c>
      <c r="B13" s="284" t="s">
        <v>34</v>
      </c>
      <c r="C13" s="282"/>
      <c r="D13" s="282"/>
      <c r="E13" s="282"/>
      <c r="F13" s="282">
        <f t="shared" si="2"/>
        <v>0</v>
      </c>
      <c r="G13" s="282">
        <f t="shared" si="3"/>
        <v>0</v>
      </c>
      <c r="H13" s="282">
        <f t="shared" si="4"/>
        <v>0</v>
      </c>
      <c r="I13" s="282">
        <f t="shared" si="5"/>
        <v>0</v>
      </c>
      <c r="J13" s="98">
        <v>104.07</v>
      </c>
      <c r="K13" s="285">
        <f t="shared" si="6"/>
        <v>0</v>
      </c>
      <c r="L13" s="281"/>
      <c r="M13" s="285">
        <f t="shared" si="7"/>
        <v>0</v>
      </c>
      <c r="N13" s="285">
        <f t="shared" si="8"/>
        <v>0</v>
      </c>
      <c r="O13" s="285">
        <f t="shared" si="9"/>
        <v>0</v>
      </c>
      <c r="P13" s="281"/>
      <c r="Q13" s="281"/>
      <c r="R13" s="286" t="e">
        <f t="shared" si="10"/>
        <v>#DIV/0!</v>
      </c>
      <c r="S13" s="286" t="e">
        <f t="shared" si="10"/>
        <v>#DIV/0!</v>
      </c>
      <c r="T13" s="286" t="e">
        <f t="shared" si="1"/>
        <v>#DIV/0!</v>
      </c>
      <c r="U13" s="286" t="e">
        <f t="shared" si="1"/>
        <v>#DIV/0!</v>
      </c>
      <c r="V13" s="286" t="e">
        <f t="shared" si="1"/>
        <v>#DIV/0!</v>
      </c>
      <c r="W13" s="306"/>
      <c r="X13" s="306"/>
      <c r="Y13" s="306"/>
      <c r="Z13" s="306"/>
      <c r="AA13" s="306"/>
      <c r="AB13" s="155"/>
    </row>
    <row r="14" spans="1:32" ht="26.25" hidden="1" x14ac:dyDescent="0.4">
      <c r="A14" s="10" t="s">
        <v>164</v>
      </c>
      <c r="B14" s="284" t="s">
        <v>29</v>
      </c>
      <c r="C14" s="282"/>
      <c r="D14" s="282"/>
      <c r="E14" s="282"/>
      <c r="F14" s="282">
        <f t="shared" si="2"/>
        <v>0</v>
      </c>
      <c r="G14" s="282">
        <f t="shared" si="3"/>
        <v>0</v>
      </c>
      <c r="H14" s="282">
        <f t="shared" si="4"/>
        <v>0</v>
      </c>
      <c r="I14" s="282">
        <f t="shared" si="5"/>
        <v>0</v>
      </c>
      <c r="J14" s="98">
        <v>245.95</v>
      </c>
      <c r="K14" s="285">
        <f t="shared" si="6"/>
        <v>0</v>
      </c>
      <c r="L14" s="281"/>
      <c r="M14" s="285">
        <f t="shared" si="7"/>
        <v>0</v>
      </c>
      <c r="N14" s="285">
        <f t="shared" si="8"/>
        <v>0</v>
      </c>
      <c r="O14" s="285">
        <f t="shared" si="9"/>
        <v>0</v>
      </c>
      <c r="P14" s="281"/>
      <c r="Q14" s="281"/>
      <c r="R14" s="286" t="e">
        <f t="shared" si="10"/>
        <v>#DIV/0!</v>
      </c>
      <c r="S14" s="286" t="e">
        <f t="shared" si="10"/>
        <v>#DIV/0!</v>
      </c>
      <c r="T14" s="286" t="e">
        <f t="shared" si="1"/>
        <v>#DIV/0!</v>
      </c>
      <c r="U14" s="286" t="e">
        <f t="shared" si="1"/>
        <v>#DIV/0!</v>
      </c>
      <c r="V14" s="286" t="e">
        <f t="shared" si="1"/>
        <v>#DIV/0!</v>
      </c>
      <c r="W14" s="306"/>
      <c r="X14" s="306"/>
      <c r="Y14" s="306"/>
      <c r="Z14" s="306"/>
      <c r="AA14" s="306"/>
      <c r="AB14" s="155"/>
    </row>
    <row r="15" spans="1:32" ht="26.25" hidden="1" x14ac:dyDescent="0.4">
      <c r="A15" s="10" t="s">
        <v>165</v>
      </c>
      <c r="B15" s="284" t="s">
        <v>29</v>
      </c>
      <c r="C15" s="282"/>
      <c r="D15" s="282"/>
      <c r="E15" s="282"/>
      <c r="F15" s="282">
        <f t="shared" si="2"/>
        <v>0</v>
      </c>
      <c r="G15" s="282">
        <f t="shared" si="3"/>
        <v>0</v>
      </c>
      <c r="H15" s="282">
        <f t="shared" si="4"/>
        <v>0</v>
      </c>
      <c r="I15" s="282">
        <f t="shared" si="5"/>
        <v>0</v>
      </c>
      <c r="J15" s="98">
        <v>77.53</v>
      </c>
      <c r="K15" s="285">
        <f t="shared" si="6"/>
        <v>0</v>
      </c>
      <c r="L15" s="281"/>
      <c r="M15" s="285">
        <f t="shared" si="7"/>
        <v>0</v>
      </c>
      <c r="N15" s="285">
        <f t="shared" si="8"/>
        <v>0</v>
      </c>
      <c r="O15" s="285">
        <f t="shared" si="9"/>
        <v>0</v>
      </c>
      <c r="P15" s="281"/>
      <c r="Q15" s="281"/>
      <c r="R15" s="286" t="e">
        <f t="shared" si="10"/>
        <v>#DIV/0!</v>
      </c>
      <c r="S15" s="286" t="e">
        <f t="shared" si="10"/>
        <v>#DIV/0!</v>
      </c>
      <c r="T15" s="286" t="e">
        <f t="shared" si="1"/>
        <v>#DIV/0!</v>
      </c>
      <c r="U15" s="286" t="e">
        <f t="shared" si="1"/>
        <v>#DIV/0!</v>
      </c>
      <c r="V15" s="286" t="e">
        <f t="shared" si="1"/>
        <v>#DIV/0!</v>
      </c>
      <c r="W15" s="306"/>
      <c r="X15" s="306"/>
      <c r="Y15" s="306"/>
      <c r="Z15" s="306"/>
      <c r="AA15" s="306"/>
      <c r="AB15" s="155"/>
    </row>
    <row r="16" spans="1:32" ht="26.25" hidden="1" x14ac:dyDescent="0.4">
      <c r="A16" s="10" t="s">
        <v>166</v>
      </c>
      <c r="B16" s="284" t="s">
        <v>29</v>
      </c>
      <c r="C16" s="282"/>
      <c r="D16" s="282"/>
      <c r="E16" s="282"/>
      <c r="F16" s="282">
        <f t="shared" si="2"/>
        <v>0</v>
      </c>
      <c r="G16" s="282">
        <f t="shared" si="3"/>
        <v>0</v>
      </c>
      <c r="H16" s="282">
        <f t="shared" si="4"/>
        <v>0</v>
      </c>
      <c r="I16" s="282">
        <f t="shared" si="5"/>
        <v>0</v>
      </c>
      <c r="J16" s="98">
        <v>324.39999999999998</v>
      </c>
      <c r="K16" s="285">
        <f t="shared" si="6"/>
        <v>0</v>
      </c>
      <c r="L16" s="281"/>
      <c r="M16" s="285">
        <f t="shared" si="7"/>
        <v>0</v>
      </c>
      <c r="N16" s="285">
        <f t="shared" si="8"/>
        <v>0</v>
      </c>
      <c r="O16" s="285">
        <f t="shared" si="9"/>
        <v>0</v>
      </c>
      <c r="P16" s="281"/>
      <c r="Q16" s="281"/>
      <c r="R16" s="286" t="e">
        <f t="shared" si="10"/>
        <v>#DIV/0!</v>
      </c>
      <c r="S16" s="286" t="e">
        <f t="shared" si="10"/>
        <v>#DIV/0!</v>
      </c>
      <c r="T16" s="286" t="e">
        <f t="shared" si="1"/>
        <v>#DIV/0!</v>
      </c>
      <c r="U16" s="286" t="e">
        <f t="shared" si="1"/>
        <v>#DIV/0!</v>
      </c>
      <c r="V16" s="286" t="e">
        <f t="shared" si="1"/>
        <v>#DIV/0!</v>
      </c>
      <c r="W16" s="306"/>
      <c r="X16" s="306"/>
      <c r="Y16" s="306"/>
      <c r="Z16" s="306"/>
      <c r="AA16" s="306"/>
      <c r="AB16" s="155"/>
    </row>
    <row r="17" spans="1:28" ht="26.25" x14ac:dyDescent="0.4">
      <c r="A17" s="10" t="s">
        <v>167</v>
      </c>
      <c r="B17" s="284" t="s">
        <v>29</v>
      </c>
      <c r="C17" s="282">
        <f>40.54+790.8</f>
        <v>831.33999999999992</v>
      </c>
      <c r="D17" s="287">
        <v>877.88</v>
      </c>
      <c r="E17" s="287">
        <v>898.23</v>
      </c>
      <c r="F17" s="282">
        <f>E17*$X$11</f>
        <v>950.32734000000005</v>
      </c>
      <c r="G17" s="282">
        <f t="shared" si="3"/>
        <v>978.83716020000008</v>
      </c>
      <c r="H17" s="282">
        <f t="shared" si="4"/>
        <v>1006.2446006856001</v>
      </c>
      <c r="I17" s="282">
        <f>H17*$AA$11</f>
        <v>1033.4132049041111</v>
      </c>
      <c r="J17" s="98">
        <v>301.42</v>
      </c>
      <c r="K17" s="285">
        <f t="shared" ref="K17:Q17" si="11">C17*$J$17</f>
        <v>250582.50279999999</v>
      </c>
      <c r="L17" s="285">
        <f t="shared" si="11"/>
        <v>264610.58960000001</v>
      </c>
      <c r="M17" s="285">
        <f>E17*$J$17</f>
        <v>270744.4866</v>
      </c>
      <c r="N17" s="285">
        <f t="shared" si="11"/>
        <v>286447.66682280001</v>
      </c>
      <c r="O17" s="285">
        <f t="shared" si="11"/>
        <v>295041.09682748403</v>
      </c>
      <c r="P17" s="285">
        <f t="shared" si="11"/>
        <v>303302.24753865361</v>
      </c>
      <c r="Q17" s="285">
        <f t="shared" si="11"/>
        <v>311491.40822219721</v>
      </c>
      <c r="R17" s="286">
        <f>M17/L17*100</f>
        <v>102.3180844762382</v>
      </c>
      <c r="S17" s="286">
        <f t="shared" si="10"/>
        <v>105.80000000000001</v>
      </c>
      <c r="T17" s="286">
        <f t="shared" si="1"/>
        <v>103</v>
      </c>
      <c r="U17" s="286">
        <f t="shared" si="1"/>
        <v>102.8</v>
      </c>
      <c r="V17" s="286">
        <f t="shared" si="1"/>
        <v>102.69999999999999</v>
      </c>
      <c r="W17" s="306"/>
      <c r="X17" s="306"/>
      <c r="Y17" s="306"/>
      <c r="Z17" s="306"/>
      <c r="AA17" s="306"/>
      <c r="AB17" s="155"/>
    </row>
    <row r="18" spans="1:28" ht="26.25" hidden="1" x14ac:dyDescent="0.4">
      <c r="A18" s="10" t="s">
        <v>168</v>
      </c>
      <c r="B18" s="284" t="s">
        <v>29</v>
      </c>
      <c r="C18" s="282"/>
      <c r="D18" s="282"/>
      <c r="E18" s="288"/>
      <c r="F18" s="282"/>
      <c r="G18" s="282"/>
      <c r="H18" s="282"/>
      <c r="I18" s="282"/>
      <c r="J18" s="98">
        <v>222.7</v>
      </c>
      <c r="K18" s="281"/>
      <c r="L18" s="281"/>
      <c r="M18" s="281"/>
      <c r="N18" s="281"/>
      <c r="O18" s="281"/>
      <c r="P18" s="281"/>
      <c r="Q18" s="281"/>
      <c r="R18" s="286" t="e">
        <f t="shared" si="10"/>
        <v>#DIV/0!</v>
      </c>
      <c r="S18" s="286" t="e">
        <f t="shared" si="10"/>
        <v>#DIV/0!</v>
      </c>
      <c r="T18" s="286" t="e">
        <f t="shared" si="1"/>
        <v>#DIV/0!</v>
      </c>
      <c r="U18" s="286" t="e">
        <f t="shared" si="1"/>
        <v>#DIV/0!</v>
      </c>
      <c r="V18" s="286" t="e">
        <f t="shared" si="1"/>
        <v>#DIV/0!</v>
      </c>
      <c r="W18" s="306"/>
      <c r="X18" s="306"/>
      <c r="Y18" s="306"/>
      <c r="Z18" s="306"/>
      <c r="AA18" s="306"/>
      <c r="AB18" s="155"/>
    </row>
    <row r="19" spans="1:28" ht="26.25" hidden="1" x14ac:dyDescent="0.4">
      <c r="A19" s="10" t="s">
        <v>169</v>
      </c>
      <c r="B19" s="284" t="s">
        <v>29</v>
      </c>
      <c r="C19" s="282"/>
      <c r="D19" s="282"/>
      <c r="E19" s="282"/>
      <c r="F19" s="282"/>
      <c r="G19" s="282"/>
      <c r="H19" s="282"/>
      <c r="I19" s="282"/>
      <c r="J19" s="98">
        <v>168.3</v>
      </c>
      <c r="K19" s="281"/>
      <c r="L19" s="281"/>
      <c r="M19" s="281"/>
      <c r="N19" s="281"/>
      <c r="O19" s="281"/>
      <c r="P19" s="281"/>
      <c r="Q19" s="281"/>
      <c r="R19" s="286" t="e">
        <f t="shared" si="10"/>
        <v>#DIV/0!</v>
      </c>
      <c r="S19" s="286" t="e">
        <f t="shared" si="10"/>
        <v>#DIV/0!</v>
      </c>
      <c r="T19" s="286" t="e">
        <f t="shared" si="1"/>
        <v>#DIV/0!</v>
      </c>
      <c r="U19" s="286" t="e">
        <f t="shared" si="1"/>
        <v>#DIV/0!</v>
      </c>
      <c r="V19" s="286" t="e">
        <f t="shared" si="1"/>
        <v>#DIV/0!</v>
      </c>
      <c r="W19" s="306"/>
      <c r="X19" s="306"/>
      <c r="Y19" s="306"/>
      <c r="Z19" s="306"/>
      <c r="AA19" s="306"/>
      <c r="AB19" s="155"/>
    </row>
    <row r="20" spans="1:28" ht="26.25" x14ac:dyDescent="0.4">
      <c r="A20" s="28" t="s">
        <v>31</v>
      </c>
      <c r="B20" s="289" t="s">
        <v>55</v>
      </c>
      <c r="C20" s="290"/>
      <c r="D20" s="290"/>
      <c r="E20" s="291"/>
      <c r="F20" s="290"/>
      <c r="G20" s="290" t="s">
        <v>55</v>
      </c>
      <c r="H20" s="290"/>
      <c r="I20" s="290"/>
      <c r="J20" s="292" t="s">
        <v>55</v>
      </c>
      <c r="K20" s="293">
        <f>K11+K17</f>
        <v>1748040.9027999998</v>
      </c>
      <c r="L20" s="293">
        <f>L11+L17</f>
        <v>2082390.7496000002</v>
      </c>
      <c r="M20" s="293">
        <f t="shared" ref="M20:Q20" si="12">M11+M17</f>
        <v>2368435.6865999997</v>
      </c>
      <c r="N20" s="293">
        <f t="shared" si="12"/>
        <v>2505804.9564228002</v>
      </c>
      <c r="O20" s="293">
        <f t="shared" si="12"/>
        <v>2580979.1051154844</v>
      </c>
      <c r="P20" s="293">
        <f t="shared" si="12"/>
        <v>2653246.520058718</v>
      </c>
      <c r="Q20" s="293">
        <f t="shared" si="12"/>
        <v>2724884.1761003034</v>
      </c>
      <c r="R20" s="294">
        <f>M20/L20*100</f>
        <v>113.73637186272292</v>
      </c>
      <c r="S20" s="294">
        <f>N20/M20*100</f>
        <v>105.80000000000003</v>
      </c>
      <c r="T20" s="294">
        <f t="shared" si="1"/>
        <v>103</v>
      </c>
      <c r="U20" s="294">
        <f t="shared" si="1"/>
        <v>102.8</v>
      </c>
      <c r="V20" s="294">
        <f t="shared" si="1"/>
        <v>102.69999999999999</v>
      </c>
      <c r="W20" s="306"/>
      <c r="X20" s="306"/>
      <c r="Y20" s="306"/>
      <c r="Z20" s="306"/>
      <c r="AA20" s="306"/>
      <c r="AB20" s="155"/>
    </row>
    <row r="21" spans="1:28" ht="27" x14ac:dyDescent="0.25">
      <c r="A21" s="479" t="s">
        <v>258</v>
      </c>
      <c r="B21" s="480"/>
      <c r="C21" s="480"/>
      <c r="D21" s="480"/>
      <c r="E21" s="480"/>
      <c r="F21" s="480"/>
      <c r="G21" s="480"/>
      <c r="H21" s="480"/>
      <c r="I21" s="480"/>
      <c r="J21" s="480"/>
      <c r="K21" s="480"/>
      <c r="L21" s="480"/>
      <c r="M21" s="480"/>
      <c r="N21" s="480"/>
      <c r="O21" s="480"/>
      <c r="P21" s="480"/>
      <c r="Q21" s="480"/>
      <c r="R21" s="480"/>
      <c r="S21" s="480"/>
      <c r="T21" s="480"/>
      <c r="U21" s="480"/>
      <c r="V21" s="480"/>
      <c r="W21" s="306"/>
      <c r="X21" s="306"/>
      <c r="Y21" s="306"/>
      <c r="Z21" s="306"/>
      <c r="AA21" s="306"/>
      <c r="AB21" s="155"/>
    </row>
    <row r="22" spans="1:28" ht="78.75" hidden="1" x14ac:dyDescent="0.4">
      <c r="A22" s="64" t="s">
        <v>173</v>
      </c>
      <c r="B22" s="40" t="s">
        <v>30</v>
      </c>
      <c r="C22" s="99"/>
      <c r="D22" s="99"/>
      <c r="E22" s="99"/>
      <c r="F22" s="99"/>
      <c r="G22" s="99"/>
      <c r="H22" s="99"/>
      <c r="I22" s="99"/>
      <c r="J22" s="48">
        <v>127.61</v>
      </c>
      <c r="K22" s="3"/>
      <c r="L22" s="3"/>
      <c r="M22" s="3"/>
      <c r="N22" s="3"/>
      <c r="O22" s="3"/>
      <c r="P22" s="3"/>
      <c r="Q22" s="3"/>
      <c r="R22" s="24"/>
      <c r="S22" s="24"/>
      <c r="T22" s="24"/>
      <c r="U22" s="24"/>
      <c r="V22" s="24"/>
      <c r="W22" s="306"/>
      <c r="X22" s="306"/>
      <c r="Y22" s="306"/>
      <c r="Z22" s="306"/>
      <c r="AA22" s="306"/>
      <c r="AB22" s="155"/>
    </row>
    <row r="23" spans="1:28" ht="52.5" hidden="1" x14ac:dyDescent="0.4">
      <c r="A23" s="8" t="s">
        <v>174</v>
      </c>
      <c r="B23" s="41" t="s">
        <v>30</v>
      </c>
      <c r="C23" s="100"/>
      <c r="D23" s="100"/>
      <c r="E23" s="100"/>
      <c r="F23" s="100"/>
      <c r="G23" s="100"/>
      <c r="H23" s="100"/>
      <c r="I23" s="100"/>
      <c r="J23" s="49">
        <v>156.41</v>
      </c>
      <c r="K23" s="7"/>
      <c r="L23" s="7"/>
      <c r="M23" s="7"/>
      <c r="N23" s="7"/>
      <c r="O23" s="7"/>
      <c r="P23" s="7"/>
      <c r="Q23" s="7"/>
      <c r="R23" s="25"/>
      <c r="S23" s="25"/>
      <c r="T23" s="25"/>
      <c r="U23" s="25"/>
      <c r="V23" s="25"/>
      <c r="W23" s="306"/>
      <c r="X23" s="306"/>
      <c r="Y23" s="306"/>
      <c r="Z23" s="306"/>
      <c r="AA23" s="306"/>
      <c r="AB23" s="155"/>
    </row>
    <row r="24" spans="1:28" ht="78.75" hidden="1" x14ac:dyDescent="0.4">
      <c r="A24" s="8" t="s">
        <v>175</v>
      </c>
      <c r="B24" s="41" t="s">
        <v>30</v>
      </c>
      <c r="C24" s="100"/>
      <c r="D24" s="100"/>
      <c r="E24" s="100"/>
      <c r="F24" s="100"/>
      <c r="G24" s="100"/>
      <c r="H24" s="100"/>
      <c r="I24" s="100"/>
      <c r="J24" s="49">
        <v>91.18</v>
      </c>
      <c r="K24" s="7"/>
      <c r="L24" s="7"/>
      <c r="M24" s="7"/>
      <c r="N24" s="7"/>
      <c r="O24" s="7"/>
      <c r="P24" s="7"/>
      <c r="Q24" s="7"/>
      <c r="R24" s="25"/>
      <c r="S24" s="25"/>
      <c r="T24" s="25"/>
      <c r="U24" s="25"/>
      <c r="V24" s="25"/>
      <c r="W24" s="306"/>
      <c r="X24" s="306"/>
      <c r="Y24" s="306"/>
      <c r="Z24" s="306"/>
      <c r="AA24" s="306"/>
      <c r="AB24" s="155"/>
    </row>
    <row r="25" spans="1:28" ht="157.5" hidden="1" x14ac:dyDescent="0.4">
      <c r="A25" s="8" t="s">
        <v>176</v>
      </c>
      <c r="B25" s="41" t="s">
        <v>30</v>
      </c>
      <c r="C25" s="100"/>
      <c r="D25" s="100"/>
      <c r="E25" s="100"/>
      <c r="F25" s="100"/>
      <c r="G25" s="100"/>
      <c r="H25" s="100"/>
      <c r="I25" s="100"/>
      <c r="J25" s="49">
        <v>85.36</v>
      </c>
      <c r="K25" s="7"/>
      <c r="L25" s="7"/>
      <c r="M25" s="7"/>
      <c r="N25" s="7"/>
      <c r="O25" s="7"/>
      <c r="P25" s="7"/>
      <c r="Q25" s="7"/>
      <c r="R25" s="25"/>
      <c r="S25" s="25"/>
      <c r="T25" s="25"/>
      <c r="U25" s="25"/>
      <c r="V25" s="25"/>
      <c r="W25" s="306"/>
      <c r="X25" s="306"/>
      <c r="Y25" s="306"/>
      <c r="Z25" s="306"/>
      <c r="AA25" s="306"/>
      <c r="AB25" s="155"/>
    </row>
    <row r="26" spans="1:28" ht="52.5" hidden="1" x14ac:dyDescent="0.4">
      <c r="A26" s="8" t="s">
        <v>177</v>
      </c>
      <c r="B26" s="41" t="s">
        <v>30</v>
      </c>
      <c r="C26" s="100"/>
      <c r="D26" s="100"/>
      <c r="E26" s="100"/>
      <c r="F26" s="100"/>
      <c r="G26" s="100"/>
      <c r="H26" s="100"/>
      <c r="I26" s="100"/>
      <c r="J26" s="49">
        <v>114.67</v>
      </c>
      <c r="K26" s="7"/>
      <c r="L26" s="7"/>
      <c r="M26" s="7"/>
      <c r="N26" s="7"/>
      <c r="O26" s="7"/>
      <c r="P26" s="7"/>
      <c r="Q26" s="7"/>
      <c r="R26" s="25"/>
      <c r="S26" s="25"/>
      <c r="T26" s="25"/>
      <c r="U26" s="25"/>
      <c r="V26" s="25"/>
      <c r="W26" s="306"/>
      <c r="X26" s="306"/>
      <c r="Y26" s="306"/>
      <c r="Z26" s="306"/>
      <c r="AA26" s="306"/>
      <c r="AB26" s="155"/>
    </row>
    <row r="27" spans="1:28" ht="78.75" hidden="1" x14ac:dyDescent="0.4">
      <c r="A27" s="8" t="s">
        <v>178</v>
      </c>
      <c r="B27" s="41" t="s">
        <v>30</v>
      </c>
      <c r="C27" s="100"/>
      <c r="D27" s="100"/>
      <c r="E27" s="100"/>
      <c r="F27" s="100"/>
      <c r="G27" s="100"/>
      <c r="H27" s="100"/>
      <c r="I27" s="100"/>
      <c r="J27" s="49">
        <v>91.18</v>
      </c>
      <c r="K27" s="7"/>
      <c r="L27" s="7"/>
      <c r="M27" s="7"/>
      <c r="N27" s="7"/>
      <c r="O27" s="7"/>
      <c r="P27" s="7"/>
      <c r="Q27" s="7"/>
      <c r="R27" s="25"/>
      <c r="S27" s="25"/>
      <c r="T27" s="25"/>
      <c r="U27" s="25"/>
      <c r="V27" s="25"/>
      <c r="W27" s="306"/>
      <c r="X27" s="306"/>
      <c r="Y27" s="306"/>
      <c r="Z27" s="306"/>
      <c r="AA27" s="306"/>
      <c r="AB27" s="155"/>
    </row>
    <row r="28" spans="1:28" ht="52.5" hidden="1" x14ac:dyDescent="0.4">
      <c r="A28" s="8" t="s">
        <v>179</v>
      </c>
      <c r="B28" s="41" t="s">
        <v>30</v>
      </c>
      <c r="C28" s="100"/>
      <c r="D28" s="100"/>
      <c r="E28" s="100"/>
      <c r="F28" s="100"/>
      <c r="G28" s="100"/>
      <c r="H28" s="100"/>
      <c r="I28" s="100"/>
      <c r="J28" s="49">
        <v>126.54</v>
      </c>
      <c r="K28" s="7"/>
      <c r="L28" s="7"/>
      <c r="M28" s="7"/>
      <c r="N28" s="7"/>
      <c r="O28" s="7"/>
      <c r="P28" s="7"/>
      <c r="Q28" s="7"/>
      <c r="R28" s="25"/>
      <c r="S28" s="25"/>
      <c r="T28" s="25"/>
      <c r="U28" s="25"/>
      <c r="V28" s="25"/>
      <c r="W28" s="306"/>
      <c r="X28" s="306"/>
      <c r="Y28" s="306"/>
      <c r="Z28" s="306"/>
      <c r="AA28" s="306"/>
      <c r="AB28" s="155"/>
    </row>
    <row r="29" spans="1:28" ht="26.25" hidden="1" x14ac:dyDescent="0.4">
      <c r="A29" s="8" t="s">
        <v>180</v>
      </c>
      <c r="B29" s="41" t="s">
        <v>30</v>
      </c>
      <c r="C29" s="100"/>
      <c r="D29" s="100"/>
      <c r="E29" s="100"/>
      <c r="F29" s="100"/>
      <c r="G29" s="100"/>
      <c r="H29" s="100"/>
      <c r="I29" s="100"/>
      <c r="J29" s="49">
        <v>23.56</v>
      </c>
      <c r="K29" s="7"/>
      <c r="L29" s="7"/>
      <c r="M29" s="7"/>
      <c r="N29" s="7"/>
      <c r="O29" s="7"/>
      <c r="P29" s="7"/>
      <c r="Q29" s="7"/>
      <c r="R29" s="25"/>
      <c r="S29" s="25"/>
      <c r="T29" s="25"/>
      <c r="U29" s="25"/>
      <c r="V29" s="25"/>
      <c r="W29" s="306"/>
      <c r="X29" s="306"/>
      <c r="Y29" s="306"/>
      <c r="Z29" s="306"/>
      <c r="AA29" s="306"/>
      <c r="AB29" s="155"/>
    </row>
    <row r="30" spans="1:28" ht="52.5" hidden="1" x14ac:dyDescent="0.4">
      <c r="A30" s="8" t="s">
        <v>181</v>
      </c>
      <c r="B30" s="41" t="s">
        <v>30</v>
      </c>
      <c r="C30" s="100"/>
      <c r="D30" s="100"/>
      <c r="E30" s="100"/>
      <c r="F30" s="100"/>
      <c r="G30" s="100"/>
      <c r="H30" s="100"/>
      <c r="I30" s="100"/>
      <c r="J30" s="49">
        <v>75.790000000000006</v>
      </c>
      <c r="K30" s="7"/>
      <c r="L30" s="7"/>
      <c r="M30" s="7"/>
      <c r="N30" s="7"/>
      <c r="O30" s="7"/>
      <c r="P30" s="7"/>
      <c r="Q30" s="7"/>
      <c r="R30" s="25"/>
      <c r="S30" s="25"/>
      <c r="T30" s="25"/>
      <c r="U30" s="25"/>
      <c r="V30" s="25"/>
      <c r="W30" s="306"/>
      <c r="X30" s="306"/>
      <c r="Y30" s="306"/>
      <c r="Z30" s="306"/>
      <c r="AA30" s="306"/>
      <c r="AB30" s="155"/>
    </row>
    <row r="31" spans="1:28" ht="52.5" hidden="1" x14ac:dyDescent="0.4">
      <c r="A31" s="8" t="s">
        <v>182</v>
      </c>
      <c r="B31" s="41" t="s">
        <v>30</v>
      </c>
      <c r="C31" s="100"/>
      <c r="D31" s="100"/>
      <c r="E31" s="100"/>
      <c r="F31" s="100"/>
      <c r="G31" s="100"/>
      <c r="H31" s="100"/>
      <c r="I31" s="100"/>
      <c r="J31" s="49">
        <v>74.56</v>
      </c>
      <c r="K31" s="7"/>
      <c r="L31" s="7"/>
      <c r="M31" s="7"/>
      <c r="N31" s="7"/>
      <c r="O31" s="7"/>
      <c r="P31" s="7"/>
      <c r="Q31" s="7"/>
      <c r="R31" s="25"/>
      <c r="S31" s="25"/>
      <c r="T31" s="25"/>
      <c r="U31" s="25"/>
      <c r="V31" s="25"/>
      <c r="W31" s="306"/>
      <c r="X31" s="306"/>
      <c r="Y31" s="306"/>
      <c r="Z31" s="306"/>
      <c r="AA31" s="306"/>
      <c r="AB31" s="155"/>
    </row>
    <row r="32" spans="1:28" ht="22.5" hidden="1" customHeight="1" x14ac:dyDescent="0.4">
      <c r="A32" s="8" t="s">
        <v>183</v>
      </c>
      <c r="B32" s="6" t="s">
        <v>30</v>
      </c>
      <c r="C32" s="100"/>
      <c r="D32" s="100"/>
      <c r="E32" s="100"/>
      <c r="F32" s="100"/>
      <c r="G32" s="100"/>
      <c r="H32" s="100"/>
      <c r="I32" s="100"/>
      <c r="J32" s="49">
        <v>46.58</v>
      </c>
      <c r="K32" s="7"/>
      <c r="L32" s="7"/>
      <c r="M32" s="7"/>
      <c r="N32" s="7"/>
      <c r="O32" s="7"/>
      <c r="P32" s="7"/>
      <c r="Q32" s="7"/>
      <c r="R32" s="25"/>
      <c r="S32" s="25"/>
      <c r="T32" s="25"/>
      <c r="U32" s="25"/>
      <c r="V32" s="25"/>
      <c r="W32" s="306"/>
      <c r="X32" s="306"/>
      <c r="Y32" s="306"/>
      <c r="Z32" s="306"/>
      <c r="AA32" s="306"/>
      <c r="AB32" s="155"/>
    </row>
    <row r="33" spans="1:28" ht="52.5" hidden="1" x14ac:dyDescent="0.4">
      <c r="A33" s="8" t="s">
        <v>184</v>
      </c>
      <c r="B33" s="9" t="s">
        <v>30</v>
      </c>
      <c r="C33" s="100"/>
      <c r="D33" s="100"/>
      <c r="E33" s="100"/>
      <c r="F33" s="100"/>
      <c r="G33" s="100"/>
      <c r="H33" s="100"/>
      <c r="I33" s="100"/>
      <c r="J33" s="49">
        <v>196.3</v>
      </c>
      <c r="K33" s="7"/>
      <c r="L33" s="7"/>
      <c r="M33" s="7"/>
      <c r="N33" s="7"/>
      <c r="O33" s="7"/>
      <c r="P33" s="7"/>
      <c r="Q33" s="7"/>
      <c r="R33" s="25"/>
      <c r="S33" s="25"/>
      <c r="T33" s="25"/>
      <c r="U33" s="25"/>
      <c r="V33" s="25"/>
      <c r="W33" s="306"/>
      <c r="X33" s="306"/>
      <c r="Y33" s="306"/>
      <c r="Z33" s="306"/>
      <c r="AA33" s="306"/>
      <c r="AB33" s="155"/>
    </row>
    <row r="34" spans="1:28" ht="25.5" hidden="1" customHeight="1" x14ac:dyDescent="0.4">
      <c r="A34" s="8" t="s">
        <v>185</v>
      </c>
      <c r="B34" s="9" t="s">
        <v>30</v>
      </c>
      <c r="C34" s="100"/>
      <c r="D34" s="100"/>
      <c r="E34" s="100"/>
      <c r="F34" s="100"/>
      <c r="G34" s="100"/>
      <c r="H34" s="100"/>
      <c r="I34" s="100"/>
      <c r="J34" s="49">
        <v>268</v>
      </c>
      <c r="K34" s="7"/>
      <c r="L34" s="7"/>
      <c r="M34" s="7"/>
      <c r="N34" s="7"/>
      <c r="O34" s="7"/>
      <c r="P34" s="7"/>
      <c r="Q34" s="7"/>
      <c r="R34" s="25"/>
      <c r="S34" s="25"/>
      <c r="T34" s="25"/>
      <c r="U34" s="25"/>
      <c r="V34" s="25"/>
      <c r="W34" s="306"/>
      <c r="X34" s="306"/>
      <c r="Y34" s="306"/>
      <c r="Z34" s="306"/>
      <c r="AA34" s="306"/>
      <c r="AB34" s="155"/>
    </row>
    <row r="35" spans="1:28" ht="28.5" hidden="1" customHeight="1" x14ac:dyDescent="0.4">
      <c r="A35" s="8" t="s">
        <v>186</v>
      </c>
      <c r="B35" s="9" t="s">
        <v>30</v>
      </c>
      <c r="C35" s="100"/>
      <c r="D35" s="100"/>
      <c r="E35" s="100"/>
      <c r="F35" s="100"/>
      <c r="G35" s="100"/>
      <c r="H35" s="100"/>
      <c r="I35" s="100"/>
      <c r="J35" s="49">
        <v>220.7</v>
      </c>
      <c r="K35" s="7"/>
      <c r="L35" s="7"/>
      <c r="M35" s="7"/>
      <c r="N35" s="7"/>
      <c r="O35" s="7"/>
      <c r="P35" s="7"/>
      <c r="Q35" s="7"/>
      <c r="R35" s="25"/>
      <c r="S35" s="25"/>
      <c r="T35" s="25"/>
      <c r="U35" s="25"/>
      <c r="V35" s="25"/>
      <c r="W35" s="306"/>
      <c r="X35" s="306"/>
      <c r="Y35" s="306"/>
      <c r="Z35" s="306"/>
      <c r="AA35" s="306"/>
      <c r="AB35" s="155"/>
    </row>
    <row r="36" spans="1:28" ht="52.5" hidden="1" x14ac:dyDescent="0.4">
      <c r="A36" s="8" t="s">
        <v>187</v>
      </c>
      <c r="B36" s="41" t="s">
        <v>30</v>
      </c>
      <c r="C36" s="100"/>
      <c r="D36" s="100"/>
      <c r="E36" s="100"/>
      <c r="F36" s="100"/>
      <c r="G36" s="100"/>
      <c r="H36" s="100"/>
      <c r="I36" s="100"/>
      <c r="J36" s="49">
        <v>155.75</v>
      </c>
      <c r="K36" s="7"/>
      <c r="L36" s="7"/>
      <c r="M36" s="7"/>
      <c r="N36" s="7"/>
      <c r="O36" s="7"/>
      <c r="P36" s="7"/>
      <c r="Q36" s="7"/>
      <c r="R36" s="25"/>
      <c r="S36" s="25"/>
      <c r="T36" s="25"/>
      <c r="U36" s="25"/>
      <c r="V36" s="25"/>
      <c r="W36" s="306"/>
      <c r="X36" s="306"/>
      <c r="Y36" s="306"/>
      <c r="Z36" s="306"/>
      <c r="AA36" s="306"/>
      <c r="AB36" s="155"/>
    </row>
    <row r="37" spans="1:28" ht="26.25" hidden="1" x14ac:dyDescent="0.4">
      <c r="A37" s="8" t="s">
        <v>188</v>
      </c>
      <c r="B37" s="41" t="s">
        <v>30</v>
      </c>
      <c r="C37" s="100"/>
      <c r="D37" s="100"/>
      <c r="E37" s="100"/>
      <c r="F37" s="100"/>
      <c r="G37" s="100"/>
      <c r="H37" s="100"/>
      <c r="I37" s="100"/>
      <c r="J37" s="49">
        <v>53.63</v>
      </c>
      <c r="K37" s="7"/>
      <c r="L37" s="7"/>
      <c r="M37" s="7"/>
      <c r="N37" s="7"/>
      <c r="O37" s="7"/>
      <c r="P37" s="7"/>
      <c r="Q37" s="7"/>
      <c r="R37" s="25"/>
      <c r="S37" s="25"/>
      <c r="T37" s="25"/>
      <c r="U37" s="25"/>
      <c r="V37" s="25"/>
      <c r="W37" s="306"/>
      <c r="X37" s="306"/>
      <c r="Y37" s="306"/>
      <c r="Z37" s="306"/>
      <c r="AA37" s="306"/>
      <c r="AB37" s="155"/>
    </row>
    <row r="38" spans="1:28" ht="26.25" hidden="1" x14ac:dyDescent="0.4">
      <c r="A38" s="8" t="s">
        <v>189</v>
      </c>
      <c r="B38" s="41" t="s">
        <v>30</v>
      </c>
      <c r="C38" s="100"/>
      <c r="D38" s="100"/>
      <c r="E38" s="100"/>
      <c r="F38" s="100"/>
      <c r="G38" s="100"/>
      <c r="H38" s="100"/>
      <c r="I38" s="100"/>
      <c r="J38" s="49">
        <v>180.15</v>
      </c>
      <c r="K38" s="7"/>
      <c r="L38" s="7"/>
      <c r="M38" s="7"/>
      <c r="N38" s="7"/>
      <c r="O38" s="7"/>
      <c r="P38" s="7"/>
      <c r="Q38" s="7"/>
      <c r="R38" s="25"/>
      <c r="S38" s="25"/>
      <c r="T38" s="25"/>
      <c r="U38" s="25"/>
      <c r="V38" s="25"/>
      <c r="W38" s="306"/>
      <c r="X38" s="306"/>
      <c r="Y38" s="306"/>
      <c r="Z38" s="306"/>
      <c r="AA38" s="306"/>
      <c r="AB38" s="155"/>
    </row>
    <row r="39" spans="1:28" ht="52.5" hidden="1" x14ac:dyDescent="0.4">
      <c r="A39" s="8" t="s">
        <v>190</v>
      </c>
      <c r="B39" s="41" t="s">
        <v>30</v>
      </c>
      <c r="C39" s="100"/>
      <c r="D39" s="100"/>
      <c r="E39" s="100"/>
      <c r="F39" s="100"/>
      <c r="G39" s="100"/>
      <c r="H39" s="100"/>
      <c r="I39" s="100"/>
      <c r="J39" s="49">
        <v>164.23</v>
      </c>
      <c r="K39" s="7"/>
      <c r="L39" s="7"/>
      <c r="M39" s="7"/>
      <c r="N39" s="7"/>
      <c r="O39" s="7"/>
      <c r="P39" s="7"/>
      <c r="Q39" s="7"/>
      <c r="R39" s="25"/>
      <c r="S39" s="25"/>
      <c r="T39" s="25"/>
      <c r="U39" s="25"/>
      <c r="V39" s="25"/>
      <c r="W39" s="306"/>
      <c r="X39" s="306"/>
      <c r="Y39" s="306"/>
      <c r="Z39" s="306"/>
      <c r="AA39" s="306"/>
      <c r="AB39" s="155"/>
    </row>
    <row r="40" spans="1:28" ht="52.5" hidden="1" x14ac:dyDescent="0.4">
      <c r="A40" s="8" t="s">
        <v>191</v>
      </c>
      <c r="B40" s="41" t="s">
        <v>30</v>
      </c>
      <c r="C40" s="100"/>
      <c r="D40" s="100"/>
      <c r="E40" s="100"/>
      <c r="F40" s="100"/>
      <c r="G40" s="100"/>
      <c r="H40" s="100"/>
      <c r="I40" s="100"/>
      <c r="J40" s="49">
        <v>104.62</v>
      </c>
      <c r="K40" s="7"/>
      <c r="L40" s="7"/>
      <c r="M40" s="7"/>
      <c r="N40" s="7"/>
      <c r="O40" s="7"/>
      <c r="P40" s="7"/>
      <c r="Q40" s="7"/>
      <c r="R40" s="25"/>
      <c r="S40" s="25"/>
      <c r="T40" s="25"/>
      <c r="U40" s="25"/>
      <c r="V40" s="25"/>
      <c r="W40" s="306"/>
      <c r="X40" s="306"/>
      <c r="Y40" s="306"/>
      <c r="Z40" s="306"/>
      <c r="AA40" s="306"/>
      <c r="AB40" s="155"/>
    </row>
    <row r="41" spans="1:28" ht="78.75" hidden="1" x14ac:dyDescent="0.4">
      <c r="A41" s="8" t="s">
        <v>192</v>
      </c>
      <c r="B41" s="41" t="s">
        <v>30</v>
      </c>
      <c r="C41" s="100"/>
      <c r="D41" s="100"/>
      <c r="E41" s="100"/>
      <c r="F41" s="100"/>
      <c r="G41" s="100"/>
      <c r="H41" s="100"/>
      <c r="I41" s="100"/>
      <c r="J41" s="49">
        <v>106.36</v>
      </c>
      <c r="K41" s="7"/>
      <c r="L41" s="7"/>
      <c r="M41" s="7"/>
      <c r="N41" s="7"/>
      <c r="O41" s="7"/>
      <c r="P41" s="7"/>
      <c r="Q41" s="7"/>
      <c r="R41" s="25"/>
      <c r="S41" s="25"/>
      <c r="T41" s="25"/>
      <c r="U41" s="25"/>
      <c r="V41" s="25"/>
      <c r="W41" s="306"/>
      <c r="X41" s="306"/>
      <c r="Y41" s="306"/>
      <c r="Z41" s="306"/>
      <c r="AA41" s="306"/>
      <c r="AB41" s="155"/>
    </row>
    <row r="42" spans="1:28" ht="78.75" hidden="1" x14ac:dyDescent="0.4">
      <c r="A42" s="8" t="s">
        <v>193</v>
      </c>
      <c r="B42" s="41" t="s">
        <v>30</v>
      </c>
      <c r="C42" s="100"/>
      <c r="D42" s="100"/>
      <c r="E42" s="100"/>
      <c r="F42" s="100"/>
      <c r="G42" s="100"/>
      <c r="H42" s="100"/>
      <c r="I42" s="100"/>
      <c r="J42" s="49">
        <v>2.67</v>
      </c>
      <c r="K42" s="7"/>
      <c r="L42" s="7"/>
      <c r="M42" s="7"/>
      <c r="N42" s="7"/>
      <c r="O42" s="7"/>
      <c r="P42" s="7"/>
      <c r="Q42" s="7"/>
      <c r="R42" s="25"/>
      <c r="S42" s="25"/>
      <c r="T42" s="25"/>
      <c r="U42" s="25"/>
      <c r="V42" s="25"/>
      <c r="W42" s="306"/>
      <c r="X42" s="306"/>
      <c r="Y42" s="306"/>
      <c r="Z42" s="306"/>
      <c r="AA42" s="306"/>
      <c r="AB42" s="155"/>
    </row>
    <row r="43" spans="1:28" ht="26.25" hidden="1" x14ac:dyDescent="0.4">
      <c r="A43" s="8" t="s">
        <v>194</v>
      </c>
      <c r="B43" s="41" t="s">
        <v>30</v>
      </c>
      <c r="C43" s="100"/>
      <c r="D43" s="100"/>
      <c r="E43" s="100"/>
      <c r="F43" s="100"/>
      <c r="G43" s="100"/>
      <c r="H43" s="100"/>
      <c r="I43" s="100"/>
      <c r="J43" s="49">
        <v>148.66999999999999</v>
      </c>
      <c r="K43" s="7"/>
      <c r="L43" s="7"/>
      <c r="M43" s="7"/>
      <c r="N43" s="7"/>
      <c r="O43" s="7"/>
      <c r="P43" s="7"/>
      <c r="Q43" s="7"/>
      <c r="R43" s="25"/>
      <c r="S43" s="25"/>
      <c r="T43" s="25"/>
      <c r="U43" s="25"/>
      <c r="V43" s="25"/>
      <c r="W43" s="306"/>
      <c r="X43" s="306"/>
      <c r="Y43" s="306"/>
      <c r="Z43" s="306"/>
      <c r="AA43" s="306"/>
      <c r="AB43" s="155"/>
    </row>
    <row r="44" spans="1:28" ht="26.25" hidden="1" x14ac:dyDescent="0.4">
      <c r="A44" s="8" t="s">
        <v>195</v>
      </c>
      <c r="B44" s="41" t="s">
        <v>30</v>
      </c>
      <c r="C44" s="100"/>
      <c r="D44" s="100"/>
      <c r="E44" s="100"/>
      <c r="F44" s="100"/>
      <c r="G44" s="100"/>
      <c r="H44" s="100"/>
      <c r="I44" s="100"/>
      <c r="J44" s="49">
        <v>155.18</v>
      </c>
      <c r="K44" s="7"/>
      <c r="L44" s="7"/>
      <c r="M44" s="7"/>
      <c r="N44" s="7"/>
      <c r="O44" s="7"/>
      <c r="P44" s="7"/>
      <c r="Q44" s="7"/>
      <c r="R44" s="25"/>
      <c r="S44" s="25"/>
      <c r="T44" s="25"/>
      <c r="U44" s="25"/>
      <c r="V44" s="25"/>
      <c r="W44" s="306"/>
      <c r="X44" s="306"/>
      <c r="Y44" s="306"/>
      <c r="Z44" s="306"/>
      <c r="AA44" s="306"/>
      <c r="AB44" s="155"/>
    </row>
    <row r="45" spans="1:28" ht="52.5" hidden="1" x14ac:dyDescent="0.4">
      <c r="A45" s="8" t="s">
        <v>196</v>
      </c>
      <c r="B45" s="41" t="s">
        <v>30</v>
      </c>
      <c r="C45" s="100"/>
      <c r="D45" s="100"/>
      <c r="E45" s="100"/>
      <c r="F45" s="100"/>
      <c r="G45" s="100"/>
      <c r="H45" s="100"/>
      <c r="I45" s="100"/>
      <c r="J45" s="49">
        <v>187.9</v>
      </c>
      <c r="K45" s="7"/>
      <c r="L45" s="7"/>
      <c r="M45" s="7"/>
      <c r="N45" s="7"/>
      <c r="O45" s="7"/>
      <c r="P45" s="7"/>
      <c r="Q45" s="7"/>
      <c r="R45" s="25"/>
      <c r="S45" s="25"/>
      <c r="T45" s="25"/>
      <c r="U45" s="25"/>
      <c r="V45" s="25"/>
      <c r="W45" s="306"/>
      <c r="X45" s="306"/>
      <c r="Y45" s="306"/>
      <c r="Z45" s="306"/>
      <c r="AA45" s="306"/>
      <c r="AB45" s="155"/>
    </row>
    <row r="46" spans="1:28" ht="26.25" hidden="1" x14ac:dyDescent="0.4">
      <c r="A46" s="8" t="s">
        <v>197</v>
      </c>
      <c r="B46" s="41" t="s">
        <v>30</v>
      </c>
      <c r="C46" s="100"/>
      <c r="D46" s="100"/>
      <c r="E46" s="100"/>
      <c r="F46" s="100"/>
      <c r="G46" s="100"/>
      <c r="H46" s="100"/>
      <c r="I46" s="100"/>
      <c r="J46" s="49">
        <v>64.45</v>
      </c>
      <c r="K46" s="7"/>
      <c r="L46" s="7"/>
      <c r="M46" s="7"/>
      <c r="N46" s="7"/>
      <c r="O46" s="7"/>
      <c r="P46" s="7"/>
      <c r="Q46" s="7"/>
      <c r="R46" s="25"/>
      <c r="S46" s="25"/>
      <c r="T46" s="25"/>
      <c r="U46" s="25"/>
      <c r="V46" s="25"/>
      <c r="W46" s="306"/>
      <c r="X46" s="306"/>
      <c r="Y46" s="306"/>
      <c r="Z46" s="306"/>
      <c r="AA46" s="306"/>
      <c r="AB46" s="155"/>
    </row>
    <row r="47" spans="1:28" ht="105" hidden="1" x14ac:dyDescent="0.4">
      <c r="A47" s="8" t="s">
        <v>198</v>
      </c>
      <c r="B47" s="41" t="s">
        <v>253</v>
      </c>
      <c r="C47" s="100"/>
      <c r="D47" s="100"/>
      <c r="E47" s="100"/>
      <c r="F47" s="100"/>
      <c r="G47" s="100"/>
      <c r="H47" s="100"/>
      <c r="I47" s="100"/>
      <c r="J47" s="49">
        <v>15.85</v>
      </c>
      <c r="K47" s="7"/>
      <c r="L47" s="7"/>
      <c r="M47" s="7"/>
      <c r="N47" s="7"/>
      <c r="O47" s="7"/>
      <c r="P47" s="7"/>
      <c r="Q47" s="7"/>
      <c r="R47" s="25"/>
      <c r="S47" s="25"/>
      <c r="T47" s="25"/>
      <c r="U47" s="25"/>
      <c r="V47" s="25"/>
      <c r="W47" s="306"/>
      <c r="X47" s="306"/>
      <c r="Y47" s="306"/>
      <c r="Z47" s="306"/>
      <c r="AA47" s="306"/>
      <c r="AB47" s="155"/>
    </row>
    <row r="48" spans="1:28" ht="105" hidden="1" x14ac:dyDescent="0.4">
      <c r="A48" s="8" t="s">
        <v>199</v>
      </c>
      <c r="B48" s="41" t="s">
        <v>253</v>
      </c>
      <c r="C48" s="100"/>
      <c r="D48" s="100"/>
      <c r="E48" s="100"/>
      <c r="F48" s="100"/>
      <c r="G48" s="100"/>
      <c r="H48" s="100"/>
      <c r="I48" s="100"/>
      <c r="J48" s="49">
        <v>12.45</v>
      </c>
      <c r="K48" s="7"/>
      <c r="L48" s="7"/>
      <c r="M48" s="7"/>
      <c r="N48" s="7"/>
      <c r="O48" s="7"/>
      <c r="P48" s="7"/>
      <c r="Q48" s="7"/>
      <c r="R48" s="25"/>
      <c r="S48" s="25"/>
      <c r="T48" s="25"/>
      <c r="U48" s="25"/>
      <c r="V48" s="25"/>
      <c r="W48" s="306"/>
      <c r="X48" s="306"/>
      <c r="Y48" s="306"/>
      <c r="Z48" s="306"/>
      <c r="AA48" s="306"/>
      <c r="AB48" s="155"/>
    </row>
    <row r="49" spans="1:28" ht="26.25" hidden="1" x14ac:dyDescent="0.4">
      <c r="A49" s="8" t="s">
        <v>200</v>
      </c>
      <c r="B49" s="41" t="s">
        <v>30</v>
      </c>
      <c r="C49" s="100"/>
      <c r="D49" s="100"/>
      <c r="E49" s="100"/>
      <c r="F49" s="100"/>
      <c r="G49" s="100"/>
      <c r="H49" s="100"/>
      <c r="I49" s="100"/>
      <c r="J49" s="49">
        <v>42.7</v>
      </c>
      <c r="K49" s="7"/>
      <c r="L49" s="7"/>
      <c r="M49" s="7"/>
      <c r="N49" s="7"/>
      <c r="O49" s="7"/>
      <c r="P49" s="7"/>
      <c r="Q49" s="7"/>
      <c r="R49" s="25"/>
      <c r="S49" s="25"/>
      <c r="T49" s="25"/>
      <c r="U49" s="25"/>
      <c r="V49" s="25"/>
      <c r="W49" s="306"/>
      <c r="X49" s="306"/>
      <c r="Y49" s="306"/>
      <c r="Z49" s="306"/>
      <c r="AA49" s="306"/>
      <c r="AB49" s="155"/>
    </row>
    <row r="50" spans="1:28" ht="52.5" hidden="1" x14ac:dyDescent="0.4">
      <c r="A50" s="8" t="s">
        <v>201</v>
      </c>
      <c r="B50" s="41" t="s">
        <v>30</v>
      </c>
      <c r="C50" s="100"/>
      <c r="D50" s="100"/>
      <c r="E50" s="100"/>
      <c r="F50" s="100"/>
      <c r="G50" s="100"/>
      <c r="H50" s="100"/>
      <c r="I50" s="100"/>
      <c r="J50" s="49">
        <v>42.7</v>
      </c>
      <c r="K50" s="7"/>
      <c r="L50" s="7"/>
      <c r="M50" s="7"/>
      <c r="N50" s="7"/>
      <c r="O50" s="7"/>
      <c r="P50" s="7"/>
      <c r="Q50" s="7"/>
      <c r="R50" s="25"/>
      <c r="S50" s="25"/>
      <c r="T50" s="25"/>
      <c r="U50" s="25"/>
      <c r="V50" s="25"/>
      <c r="W50" s="306"/>
      <c r="X50" s="306"/>
      <c r="Y50" s="306"/>
      <c r="Z50" s="306"/>
      <c r="AA50" s="306"/>
      <c r="AB50" s="155"/>
    </row>
    <row r="51" spans="1:28" ht="26.25" hidden="1" x14ac:dyDescent="0.4">
      <c r="A51" s="8" t="s">
        <v>202</v>
      </c>
      <c r="B51" s="41" t="s">
        <v>30</v>
      </c>
      <c r="C51" s="100"/>
      <c r="D51" s="100"/>
      <c r="E51" s="100"/>
      <c r="F51" s="100"/>
      <c r="G51" s="100"/>
      <c r="H51" s="100"/>
      <c r="I51" s="100"/>
      <c r="J51" s="49">
        <v>42.7</v>
      </c>
      <c r="K51" s="7"/>
      <c r="L51" s="7"/>
      <c r="M51" s="7"/>
      <c r="N51" s="7"/>
      <c r="O51" s="7"/>
      <c r="P51" s="7"/>
      <c r="Q51" s="7"/>
      <c r="R51" s="25"/>
      <c r="S51" s="25"/>
      <c r="T51" s="25"/>
      <c r="U51" s="25"/>
      <c r="V51" s="25"/>
      <c r="W51" s="306"/>
      <c r="X51" s="306"/>
      <c r="Y51" s="306"/>
      <c r="Z51" s="306"/>
      <c r="AA51" s="306"/>
      <c r="AB51" s="155"/>
    </row>
    <row r="52" spans="1:28" ht="52.5" hidden="1" x14ac:dyDescent="0.4">
      <c r="A52" s="8" t="s">
        <v>203</v>
      </c>
      <c r="B52" s="41" t="s">
        <v>30</v>
      </c>
      <c r="C52" s="100"/>
      <c r="D52" s="100"/>
      <c r="E52" s="100"/>
      <c r="F52" s="100"/>
      <c r="G52" s="100"/>
      <c r="H52" s="100"/>
      <c r="I52" s="100"/>
      <c r="J52" s="49">
        <v>14.39</v>
      </c>
      <c r="K52" s="7"/>
      <c r="L52" s="7"/>
      <c r="M52" s="7"/>
      <c r="N52" s="7"/>
      <c r="O52" s="7"/>
      <c r="P52" s="7"/>
      <c r="Q52" s="7"/>
      <c r="R52" s="25"/>
      <c r="S52" s="25"/>
      <c r="T52" s="25"/>
      <c r="U52" s="25"/>
      <c r="V52" s="25"/>
      <c r="W52" s="306"/>
      <c r="X52" s="306"/>
      <c r="Y52" s="306"/>
      <c r="Z52" s="306"/>
      <c r="AA52" s="306"/>
      <c r="AB52" s="155"/>
    </row>
    <row r="53" spans="1:28" ht="52.5" hidden="1" x14ac:dyDescent="0.4">
      <c r="A53" s="8" t="s">
        <v>204</v>
      </c>
      <c r="B53" s="41" t="s">
        <v>30</v>
      </c>
      <c r="C53" s="100"/>
      <c r="D53" s="100"/>
      <c r="E53" s="100"/>
      <c r="F53" s="100"/>
      <c r="G53" s="100"/>
      <c r="H53" s="100"/>
      <c r="I53" s="100"/>
      <c r="J53" s="49">
        <v>44.2</v>
      </c>
      <c r="K53" s="7"/>
      <c r="L53" s="7"/>
      <c r="M53" s="7"/>
      <c r="N53" s="7"/>
      <c r="O53" s="7"/>
      <c r="P53" s="7"/>
      <c r="Q53" s="7"/>
      <c r="R53" s="25"/>
      <c r="S53" s="25"/>
      <c r="T53" s="25"/>
      <c r="U53" s="25"/>
      <c r="V53" s="25"/>
      <c r="W53" s="306"/>
      <c r="X53" s="306"/>
      <c r="Y53" s="306"/>
      <c r="Z53" s="306"/>
      <c r="AA53" s="306"/>
      <c r="AB53" s="155"/>
    </row>
    <row r="54" spans="1:28" ht="54" hidden="1" customHeight="1" x14ac:dyDescent="0.4">
      <c r="A54" s="8" t="s">
        <v>205</v>
      </c>
      <c r="B54" s="41" t="s">
        <v>30</v>
      </c>
      <c r="C54" s="100"/>
      <c r="D54" s="100"/>
      <c r="E54" s="100"/>
      <c r="F54" s="100"/>
      <c r="G54" s="100"/>
      <c r="H54" s="100"/>
      <c r="I54" s="100"/>
      <c r="J54" s="49">
        <v>43.3</v>
      </c>
      <c r="K54" s="7"/>
      <c r="L54" s="7"/>
      <c r="M54" s="7"/>
      <c r="N54" s="7"/>
      <c r="O54" s="7"/>
      <c r="P54" s="7"/>
      <c r="Q54" s="7"/>
      <c r="R54" s="25"/>
      <c r="S54" s="25"/>
      <c r="T54" s="25"/>
      <c r="U54" s="25"/>
      <c r="V54" s="25"/>
      <c r="W54" s="306"/>
      <c r="X54" s="306"/>
      <c r="Y54" s="306"/>
      <c r="Z54" s="306"/>
      <c r="AA54" s="306"/>
      <c r="AB54" s="155"/>
    </row>
    <row r="55" spans="1:28" ht="81" hidden="1" customHeight="1" x14ac:dyDescent="0.4">
      <c r="A55" s="8" t="s">
        <v>206</v>
      </c>
      <c r="B55" s="9" t="s">
        <v>30</v>
      </c>
      <c r="C55" s="100"/>
      <c r="D55" s="100"/>
      <c r="E55" s="100"/>
      <c r="F55" s="100"/>
      <c r="G55" s="100"/>
      <c r="H55" s="100"/>
      <c r="I55" s="100"/>
      <c r="J55" s="49">
        <v>38.64</v>
      </c>
      <c r="K55" s="7"/>
      <c r="L55" s="7"/>
      <c r="M55" s="7"/>
      <c r="N55" s="7"/>
      <c r="O55" s="7"/>
      <c r="P55" s="7"/>
      <c r="Q55" s="7"/>
      <c r="R55" s="25"/>
      <c r="S55" s="25"/>
      <c r="T55" s="25"/>
      <c r="U55" s="25"/>
      <c r="V55" s="25"/>
      <c r="W55" s="306"/>
      <c r="X55" s="306"/>
      <c r="Y55" s="306"/>
      <c r="Z55" s="306"/>
      <c r="AA55" s="306"/>
      <c r="AB55" s="155"/>
    </row>
    <row r="56" spans="1:28" ht="26.25" hidden="1" x14ac:dyDescent="0.4">
      <c r="A56" s="8" t="s">
        <v>207</v>
      </c>
      <c r="B56" s="9" t="s">
        <v>30</v>
      </c>
      <c r="C56" s="100"/>
      <c r="D56" s="100"/>
      <c r="E56" s="100"/>
      <c r="F56" s="100"/>
      <c r="G56" s="100"/>
      <c r="H56" s="100"/>
      <c r="I56" s="100"/>
      <c r="J56" s="49">
        <v>35.06</v>
      </c>
      <c r="K56" s="7"/>
      <c r="L56" s="7"/>
      <c r="M56" s="7"/>
      <c r="N56" s="7"/>
      <c r="O56" s="7"/>
      <c r="P56" s="7"/>
      <c r="Q56" s="7"/>
      <c r="R56" s="25"/>
      <c r="S56" s="25"/>
      <c r="T56" s="25"/>
      <c r="U56" s="25"/>
      <c r="V56" s="25"/>
      <c r="W56" s="306"/>
      <c r="X56" s="306"/>
      <c r="Y56" s="306"/>
      <c r="Z56" s="306"/>
      <c r="AA56" s="306"/>
      <c r="AB56" s="155"/>
    </row>
    <row r="57" spans="1:28" ht="52.5" hidden="1" x14ac:dyDescent="0.4">
      <c r="A57" s="8" t="s">
        <v>208</v>
      </c>
      <c r="B57" s="9" t="s">
        <v>30</v>
      </c>
      <c r="C57" s="100"/>
      <c r="D57" s="100"/>
      <c r="E57" s="100"/>
      <c r="F57" s="100"/>
      <c r="G57" s="100"/>
      <c r="H57" s="100"/>
      <c r="I57" s="100"/>
      <c r="J57" s="49">
        <v>36.1</v>
      </c>
      <c r="K57" s="7"/>
      <c r="L57" s="7"/>
      <c r="M57" s="7"/>
      <c r="N57" s="7"/>
      <c r="O57" s="7"/>
      <c r="P57" s="7"/>
      <c r="Q57" s="7"/>
      <c r="R57" s="25"/>
      <c r="S57" s="25"/>
      <c r="T57" s="25"/>
      <c r="U57" s="25"/>
      <c r="V57" s="25"/>
      <c r="W57" s="306"/>
      <c r="X57" s="306"/>
      <c r="Y57" s="306"/>
      <c r="Z57" s="306"/>
      <c r="AA57" s="306"/>
      <c r="AB57" s="155"/>
    </row>
    <row r="58" spans="1:28" ht="52.5" hidden="1" x14ac:dyDescent="0.4">
      <c r="A58" s="8" t="s">
        <v>209</v>
      </c>
      <c r="B58" s="9" t="s">
        <v>30</v>
      </c>
      <c r="C58" s="100"/>
      <c r="D58" s="100"/>
      <c r="E58" s="100"/>
      <c r="F58" s="100"/>
      <c r="G58" s="100"/>
      <c r="H58" s="100"/>
      <c r="I58" s="100"/>
      <c r="J58" s="49">
        <v>92.03</v>
      </c>
      <c r="K58" s="7"/>
      <c r="L58" s="7"/>
      <c r="M58" s="7"/>
      <c r="N58" s="7"/>
      <c r="O58" s="7"/>
      <c r="P58" s="7"/>
      <c r="Q58" s="7"/>
      <c r="R58" s="25"/>
      <c r="S58" s="25"/>
      <c r="T58" s="25"/>
      <c r="U58" s="25"/>
      <c r="V58" s="25"/>
      <c r="W58" s="306"/>
      <c r="X58" s="306"/>
      <c r="Y58" s="306"/>
      <c r="Z58" s="306"/>
      <c r="AA58" s="306"/>
      <c r="AB58" s="155"/>
    </row>
    <row r="59" spans="1:28" ht="26.25" hidden="1" x14ac:dyDescent="0.4">
      <c r="A59" s="8" t="s">
        <v>210</v>
      </c>
      <c r="B59" s="9" t="s">
        <v>30</v>
      </c>
      <c r="C59" s="100"/>
      <c r="D59" s="100"/>
      <c r="E59" s="100"/>
      <c r="F59" s="100"/>
      <c r="G59" s="100"/>
      <c r="H59" s="100"/>
      <c r="I59" s="100"/>
      <c r="J59" s="49">
        <v>60.29</v>
      </c>
      <c r="K59" s="7"/>
      <c r="L59" s="7"/>
      <c r="M59" s="7"/>
      <c r="N59" s="7"/>
      <c r="O59" s="7"/>
      <c r="P59" s="7"/>
      <c r="Q59" s="7"/>
      <c r="R59" s="25"/>
      <c r="S59" s="25"/>
      <c r="T59" s="25"/>
      <c r="U59" s="25"/>
      <c r="V59" s="25"/>
      <c r="W59" s="306"/>
      <c r="X59" s="306"/>
      <c r="Y59" s="306"/>
      <c r="Z59" s="306"/>
      <c r="AA59" s="306"/>
      <c r="AB59" s="155"/>
    </row>
    <row r="60" spans="1:28" ht="26.25" hidden="1" x14ac:dyDescent="0.4">
      <c r="A60" s="8" t="s">
        <v>211</v>
      </c>
      <c r="B60" s="9" t="s">
        <v>30</v>
      </c>
      <c r="C60" s="100"/>
      <c r="D60" s="100"/>
      <c r="E60" s="100"/>
      <c r="F60" s="100"/>
      <c r="G60" s="100"/>
      <c r="H60" s="100"/>
      <c r="I60" s="100"/>
      <c r="J60" s="49">
        <v>23.54</v>
      </c>
      <c r="K60" s="7"/>
      <c r="L60" s="7"/>
      <c r="M60" s="7"/>
      <c r="N60" s="7"/>
      <c r="O60" s="7"/>
      <c r="P60" s="7"/>
      <c r="Q60" s="7"/>
      <c r="R60" s="25"/>
      <c r="S60" s="25"/>
      <c r="T60" s="25"/>
      <c r="U60" s="25"/>
      <c r="V60" s="25"/>
      <c r="W60" s="306"/>
      <c r="X60" s="306"/>
      <c r="Y60" s="306"/>
      <c r="Z60" s="306"/>
      <c r="AA60" s="306"/>
      <c r="AB60" s="155"/>
    </row>
    <row r="61" spans="1:28" ht="26.25" hidden="1" x14ac:dyDescent="0.4">
      <c r="A61" s="8" t="s">
        <v>212</v>
      </c>
      <c r="B61" s="41" t="s">
        <v>30</v>
      </c>
      <c r="C61" s="100"/>
      <c r="D61" s="100"/>
      <c r="E61" s="100"/>
      <c r="F61" s="100"/>
      <c r="G61" s="100"/>
      <c r="H61" s="100"/>
      <c r="I61" s="100"/>
      <c r="J61" s="49">
        <v>86.26</v>
      </c>
      <c r="K61" s="7"/>
      <c r="L61" s="7"/>
      <c r="M61" s="7"/>
      <c r="N61" s="7"/>
      <c r="O61" s="7"/>
      <c r="P61" s="7"/>
      <c r="Q61" s="7"/>
      <c r="R61" s="25"/>
      <c r="S61" s="25"/>
      <c r="T61" s="25"/>
      <c r="U61" s="25"/>
      <c r="V61" s="25"/>
      <c r="W61" s="306"/>
      <c r="X61" s="306"/>
      <c r="Y61" s="306"/>
      <c r="Z61" s="306"/>
      <c r="AA61" s="306"/>
      <c r="AB61" s="155"/>
    </row>
    <row r="62" spans="1:28" ht="26.25" hidden="1" x14ac:dyDescent="0.4">
      <c r="A62" s="8" t="s">
        <v>213</v>
      </c>
      <c r="B62" s="9" t="s">
        <v>30</v>
      </c>
      <c r="C62" s="100"/>
      <c r="D62" s="100"/>
      <c r="E62" s="100"/>
      <c r="F62" s="100"/>
      <c r="G62" s="100"/>
      <c r="H62" s="100"/>
      <c r="I62" s="100"/>
      <c r="J62" s="49">
        <v>173.67</v>
      </c>
      <c r="K62" s="7"/>
      <c r="L62" s="7"/>
      <c r="M62" s="7"/>
      <c r="N62" s="7"/>
      <c r="O62" s="7"/>
      <c r="P62" s="7"/>
      <c r="Q62" s="7"/>
      <c r="R62" s="25"/>
      <c r="S62" s="25"/>
      <c r="T62" s="25"/>
      <c r="U62" s="25"/>
      <c r="V62" s="25"/>
      <c r="W62" s="306"/>
      <c r="X62" s="306"/>
      <c r="Y62" s="306"/>
      <c r="Z62" s="306"/>
      <c r="AA62" s="306"/>
      <c r="AB62" s="155"/>
    </row>
    <row r="63" spans="1:28" ht="26.25" hidden="1" x14ac:dyDescent="0.4">
      <c r="A63" s="8" t="s">
        <v>214</v>
      </c>
      <c r="B63" s="9" t="s">
        <v>30</v>
      </c>
      <c r="C63" s="100"/>
      <c r="D63" s="100"/>
      <c r="E63" s="100"/>
      <c r="F63" s="100"/>
      <c r="G63" s="100"/>
      <c r="H63" s="100"/>
      <c r="I63" s="100"/>
      <c r="J63" s="49">
        <v>74.099999999999994</v>
      </c>
      <c r="K63" s="7"/>
      <c r="L63" s="7"/>
      <c r="M63" s="7"/>
      <c r="N63" s="7"/>
      <c r="O63" s="7"/>
      <c r="P63" s="7"/>
      <c r="Q63" s="7"/>
      <c r="R63" s="25"/>
      <c r="S63" s="25"/>
      <c r="T63" s="25"/>
      <c r="U63" s="25"/>
      <c r="V63" s="25"/>
      <c r="W63" s="306"/>
      <c r="X63" s="306"/>
      <c r="Y63" s="306"/>
      <c r="Z63" s="306"/>
      <c r="AA63" s="306"/>
      <c r="AB63" s="155"/>
    </row>
    <row r="64" spans="1:28" ht="31.5" hidden="1" customHeight="1" x14ac:dyDescent="0.4">
      <c r="A64" s="8" t="s">
        <v>215</v>
      </c>
      <c r="B64" s="9" t="s">
        <v>30</v>
      </c>
      <c r="C64" s="101"/>
      <c r="D64" s="101"/>
      <c r="E64" s="101"/>
      <c r="F64" s="101"/>
      <c r="G64" s="101"/>
      <c r="H64" s="101"/>
      <c r="I64" s="101"/>
      <c r="J64" s="9">
        <v>110.05</v>
      </c>
      <c r="K64" s="7"/>
      <c r="L64" s="7"/>
      <c r="M64" s="7"/>
      <c r="N64" s="7"/>
      <c r="O64" s="7"/>
      <c r="P64" s="7"/>
      <c r="Q64" s="7"/>
      <c r="R64" s="25"/>
      <c r="S64" s="25"/>
      <c r="T64" s="25"/>
      <c r="U64" s="25"/>
      <c r="V64" s="25"/>
      <c r="W64" s="306"/>
      <c r="X64" s="306"/>
      <c r="Y64" s="306"/>
      <c r="Z64" s="306"/>
      <c r="AA64" s="306"/>
      <c r="AB64" s="155"/>
    </row>
    <row r="65" spans="1:28" ht="26.25" hidden="1" x14ac:dyDescent="0.4">
      <c r="A65" s="8" t="s">
        <v>216</v>
      </c>
      <c r="B65" s="41" t="s">
        <v>30</v>
      </c>
      <c r="C65" s="100"/>
      <c r="D65" s="100"/>
      <c r="E65" s="100"/>
      <c r="F65" s="100"/>
      <c r="G65" s="100"/>
      <c r="H65" s="100"/>
      <c r="I65" s="100"/>
      <c r="J65" s="49">
        <v>103.16</v>
      </c>
      <c r="K65" s="7"/>
      <c r="L65" s="7"/>
      <c r="M65" s="7"/>
      <c r="N65" s="7"/>
      <c r="O65" s="7"/>
      <c r="P65" s="7"/>
      <c r="Q65" s="7"/>
      <c r="R65" s="25"/>
      <c r="S65" s="25"/>
      <c r="T65" s="25"/>
      <c r="U65" s="25"/>
      <c r="V65" s="25"/>
      <c r="W65" s="306"/>
      <c r="X65" s="306"/>
      <c r="Y65" s="306"/>
      <c r="Z65" s="306"/>
      <c r="AA65" s="306"/>
      <c r="AB65" s="155"/>
    </row>
    <row r="66" spans="1:28" ht="78.75" hidden="1" x14ac:dyDescent="0.4">
      <c r="A66" s="8" t="s">
        <v>217</v>
      </c>
      <c r="B66" s="41" t="s">
        <v>30</v>
      </c>
      <c r="C66" s="100"/>
      <c r="D66" s="100"/>
      <c r="E66" s="100"/>
      <c r="F66" s="100"/>
      <c r="G66" s="100"/>
      <c r="H66" s="100"/>
      <c r="I66" s="100"/>
      <c r="J66" s="49">
        <v>35.49</v>
      </c>
      <c r="K66" s="7"/>
      <c r="L66" s="7"/>
      <c r="M66" s="7"/>
      <c r="N66" s="7"/>
      <c r="O66" s="7"/>
      <c r="P66" s="7"/>
      <c r="Q66" s="7"/>
      <c r="R66" s="25"/>
      <c r="S66" s="25"/>
      <c r="T66" s="25"/>
      <c r="U66" s="25"/>
      <c r="V66" s="25"/>
      <c r="W66" s="306"/>
      <c r="X66" s="306"/>
      <c r="Y66" s="306"/>
      <c r="Z66" s="306"/>
      <c r="AA66" s="306"/>
      <c r="AB66" s="155"/>
    </row>
    <row r="67" spans="1:28" ht="26.25" hidden="1" x14ac:dyDescent="0.4">
      <c r="A67" s="8" t="s">
        <v>218</v>
      </c>
      <c r="B67" s="41" t="s">
        <v>30</v>
      </c>
      <c r="C67" s="100"/>
      <c r="D67" s="100"/>
      <c r="E67" s="100"/>
      <c r="F67" s="100"/>
      <c r="G67" s="100"/>
      <c r="H67" s="100"/>
      <c r="I67" s="100"/>
      <c r="J67" s="49">
        <v>29.63</v>
      </c>
      <c r="K67" s="7"/>
      <c r="L67" s="7"/>
      <c r="M67" s="7"/>
      <c r="N67" s="7"/>
      <c r="O67" s="7"/>
      <c r="P67" s="7"/>
      <c r="Q67" s="7"/>
      <c r="R67" s="25"/>
      <c r="S67" s="25"/>
      <c r="T67" s="25"/>
      <c r="U67" s="25"/>
      <c r="V67" s="25"/>
      <c r="W67" s="306"/>
      <c r="X67" s="306"/>
      <c r="Y67" s="306"/>
      <c r="Z67" s="306"/>
      <c r="AA67" s="306"/>
      <c r="AB67" s="155"/>
    </row>
    <row r="68" spans="1:28" ht="26.25" hidden="1" x14ac:dyDescent="0.4">
      <c r="A68" s="8" t="s">
        <v>219</v>
      </c>
      <c r="B68" s="41" t="s">
        <v>30</v>
      </c>
      <c r="C68" s="100"/>
      <c r="D68" s="100"/>
      <c r="E68" s="100"/>
      <c r="F68" s="100"/>
      <c r="G68" s="100"/>
      <c r="H68" s="100"/>
      <c r="I68" s="100"/>
      <c r="J68" s="49">
        <v>91.52</v>
      </c>
      <c r="K68" s="7"/>
      <c r="L68" s="7"/>
      <c r="M68" s="7"/>
      <c r="N68" s="7"/>
      <c r="O68" s="7"/>
      <c r="P68" s="7"/>
      <c r="Q68" s="7"/>
      <c r="R68" s="25"/>
      <c r="S68" s="25"/>
      <c r="T68" s="25"/>
      <c r="U68" s="25"/>
      <c r="V68" s="25"/>
      <c r="W68" s="306"/>
      <c r="X68" s="306"/>
      <c r="Y68" s="306"/>
      <c r="Z68" s="306"/>
      <c r="AA68" s="306"/>
      <c r="AB68" s="155"/>
    </row>
    <row r="69" spans="1:28" ht="26.25" hidden="1" x14ac:dyDescent="0.4">
      <c r="A69" s="8" t="s">
        <v>220</v>
      </c>
      <c r="B69" s="41" t="s">
        <v>30</v>
      </c>
      <c r="C69" s="100"/>
      <c r="D69" s="100"/>
      <c r="E69" s="100"/>
      <c r="F69" s="100"/>
      <c r="G69" s="100"/>
      <c r="H69" s="100"/>
      <c r="I69" s="100"/>
      <c r="J69" s="49">
        <v>4.29</v>
      </c>
      <c r="K69" s="7"/>
      <c r="L69" s="7"/>
      <c r="M69" s="7"/>
      <c r="N69" s="7"/>
      <c r="O69" s="7"/>
      <c r="P69" s="7"/>
      <c r="Q69" s="7"/>
      <c r="R69" s="25"/>
      <c r="S69" s="25"/>
      <c r="T69" s="25"/>
      <c r="U69" s="25"/>
      <c r="V69" s="25"/>
      <c r="W69" s="306"/>
      <c r="X69" s="306"/>
      <c r="Y69" s="306"/>
      <c r="Z69" s="306"/>
      <c r="AA69" s="306"/>
      <c r="AB69" s="155"/>
    </row>
    <row r="70" spans="1:28" ht="26.25" hidden="1" x14ac:dyDescent="0.4">
      <c r="A70" s="8" t="s">
        <v>221</v>
      </c>
      <c r="B70" s="41" t="s">
        <v>30</v>
      </c>
      <c r="C70" s="100"/>
      <c r="D70" s="100"/>
      <c r="E70" s="100"/>
      <c r="F70" s="100"/>
      <c r="G70" s="100"/>
      <c r="H70" s="100"/>
      <c r="I70" s="100"/>
      <c r="J70" s="49">
        <v>18.84</v>
      </c>
      <c r="K70" s="7"/>
      <c r="L70" s="7"/>
      <c r="M70" s="7"/>
      <c r="N70" s="7"/>
      <c r="O70" s="7"/>
      <c r="P70" s="7"/>
      <c r="Q70" s="7"/>
      <c r="R70" s="25"/>
      <c r="S70" s="25"/>
      <c r="T70" s="25"/>
      <c r="U70" s="25"/>
      <c r="V70" s="25"/>
      <c r="W70" s="306"/>
      <c r="X70" s="306"/>
      <c r="Y70" s="306"/>
      <c r="Z70" s="306"/>
      <c r="AA70" s="306"/>
      <c r="AB70" s="155"/>
    </row>
    <row r="71" spans="1:28" ht="26.25" hidden="1" x14ac:dyDescent="0.4">
      <c r="A71" s="8" t="s">
        <v>222</v>
      </c>
      <c r="B71" s="41" t="s">
        <v>30</v>
      </c>
      <c r="C71" s="100"/>
      <c r="D71" s="100"/>
      <c r="E71" s="100"/>
      <c r="F71" s="100"/>
      <c r="G71" s="100"/>
      <c r="H71" s="100"/>
      <c r="I71" s="100"/>
      <c r="J71" s="49">
        <v>120.3</v>
      </c>
      <c r="K71" s="7"/>
      <c r="L71" s="7"/>
      <c r="M71" s="7"/>
      <c r="N71" s="7"/>
      <c r="O71" s="7"/>
      <c r="P71" s="7"/>
      <c r="Q71" s="7"/>
      <c r="R71" s="25"/>
      <c r="S71" s="25"/>
      <c r="T71" s="25"/>
      <c r="U71" s="25"/>
      <c r="V71" s="25"/>
      <c r="W71" s="306"/>
      <c r="X71" s="306"/>
      <c r="Y71" s="306"/>
      <c r="Z71" s="306"/>
      <c r="AA71" s="306"/>
      <c r="AB71" s="155"/>
    </row>
    <row r="72" spans="1:28" ht="26.25" hidden="1" x14ac:dyDescent="0.4">
      <c r="A72" s="8" t="s">
        <v>223</v>
      </c>
      <c r="B72" s="41" t="s">
        <v>30</v>
      </c>
      <c r="C72" s="100"/>
      <c r="D72" s="100"/>
      <c r="E72" s="100"/>
      <c r="F72" s="100"/>
      <c r="G72" s="100"/>
      <c r="H72" s="100"/>
      <c r="I72" s="100"/>
      <c r="J72" s="49">
        <v>75.62</v>
      </c>
      <c r="K72" s="7"/>
      <c r="L72" s="7"/>
      <c r="M72" s="7"/>
      <c r="N72" s="7"/>
      <c r="O72" s="7"/>
      <c r="P72" s="7"/>
      <c r="Q72" s="7"/>
      <c r="R72" s="25"/>
      <c r="S72" s="25"/>
      <c r="T72" s="25"/>
      <c r="U72" s="25"/>
      <c r="V72" s="25"/>
      <c r="W72" s="306"/>
      <c r="X72" s="306"/>
      <c r="Y72" s="306"/>
      <c r="Z72" s="306"/>
      <c r="AA72" s="306"/>
      <c r="AB72" s="155"/>
    </row>
    <row r="73" spans="1:28" ht="26.25" hidden="1" x14ac:dyDescent="0.4">
      <c r="A73" s="8" t="s">
        <v>224</v>
      </c>
      <c r="B73" s="41" t="s">
        <v>30</v>
      </c>
      <c r="C73" s="100"/>
      <c r="D73" s="100"/>
      <c r="E73" s="100"/>
      <c r="F73" s="100"/>
      <c r="G73" s="100"/>
      <c r="H73" s="100"/>
      <c r="I73" s="100"/>
      <c r="J73" s="49">
        <v>8.6</v>
      </c>
      <c r="K73" s="7"/>
      <c r="L73" s="7"/>
      <c r="M73" s="7"/>
      <c r="N73" s="7"/>
      <c r="O73" s="7"/>
      <c r="P73" s="7"/>
      <c r="Q73" s="7"/>
      <c r="R73" s="25"/>
      <c r="S73" s="25"/>
      <c r="T73" s="25"/>
      <c r="U73" s="25"/>
      <c r="V73" s="25"/>
      <c r="W73" s="306"/>
      <c r="X73" s="306"/>
      <c r="Y73" s="306"/>
      <c r="Z73" s="306"/>
      <c r="AA73" s="306"/>
      <c r="AB73" s="155"/>
    </row>
    <row r="74" spans="1:28" ht="26.25" hidden="1" x14ac:dyDescent="0.4">
      <c r="A74" s="8" t="s">
        <v>225</v>
      </c>
      <c r="B74" s="41" t="s">
        <v>30</v>
      </c>
      <c r="C74" s="100"/>
      <c r="D74" s="100"/>
      <c r="E74" s="100"/>
      <c r="F74" s="100"/>
      <c r="G74" s="100"/>
      <c r="H74" s="100"/>
      <c r="I74" s="100"/>
      <c r="J74" s="49">
        <v>15.7</v>
      </c>
      <c r="K74" s="7"/>
      <c r="L74" s="7"/>
      <c r="M74" s="7"/>
      <c r="N74" s="7"/>
      <c r="O74" s="7"/>
      <c r="P74" s="7"/>
      <c r="Q74" s="7"/>
      <c r="R74" s="25"/>
      <c r="S74" s="25"/>
      <c r="T74" s="25"/>
      <c r="U74" s="25"/>
      <c r="V74" s="25"/>
      <c r="W74" s="306"/>
      <c r="X74" s="306"/>
      <c r="Y74" s="306"/>
      <c r="Z74" s="306"/>
      <c r="AA74" s="306"/>
      <c r="AB74" s="155"/>
    </row>
    <row r="75" spans="1:28" ht="52.5" hidden="1" x14ac:dyDescent="0.4">
      <c r="A75" s="8" t="s">
        <v>226</v>
      </c>
      <c r="B75" s="41" t="s">
        <v>30</v>
      </c>
      <c r="C75" s="100"/>
      <c r="D75" s="100"/>
      <c r="E75" s="100"/>
      <c r="F75" s="100"/>
      <c r="G75" s="100"/>
      <c r="H75" s="100"/>
      <c r="I75" s="100"/>
      <c r="J75" s="49">
        <v>16.37</v>
      </c>
      <c r="K75" s="7"/>
      <c r="L75" s="7"/>
      <c r="M75" s="7"/>
      <c r="N75" s="7"/>
      <c r="O75" s="7"/>
      <c r="P75" s="7"/>
      <c r="Q75" s="7"/>
      <c r="R75" s="25"/>
      <c r="S75" s="25"/>
      <c r="T75" s="25"/>
      <c r="U75" s="25"/>
      <c r="V75" s="25"/>
      <c r="W75" s="306"/>
      <c r="X75" s="306"/>
      <c r="Y75" s="306"/>
      <c r="Z75" s="306"/>
      <c r="AA75" s="306"/>
      <c r="AB75" s="155"/>
    </row>
    <row r="76" spans="1:28" ht="26.25" x14ac:dyDescent="0.4">
      <c r="A76" s="8" t="s">
        <v>227</v>
      </c>
      <c r="B76" s="41" t="s">
        <v>30</v>
      </c>
      <c r="C76" s="11">
        <v>1144.3</v>
      </c>
      <c r="D76" s="100">
        <v>631.20000000000005</v>
      </c>
      <c r="E76" s="100">
        <v>660.39</v>
      </c>
      <c r="F76" s="100">
        <f>E76*$X$77</f>
        <v>689.44716000000005</v>
      </c>
      <c r="G76" s="100">
        <f>F76*$Y$77</f>
        <v>717.02504640000006</v>
      </c>
      <c r="H76" s="100">
        <f>G76*$Z$77</f>
        <v>737.81877274559997</v>
      </c>
      <c r="I76" s="100">
        <f>H76*$AA$77</f>
        <v>759.2155171552223</v>
      </c>
      <c r="J76" s="101">
        <v>25.08</v>
      </c>
      <c r="K76" s="295">
        <f>C76*J76</f>
        <v>28699.043999999998</v>
      </c>
      <c r="L76" s="295">
        <f>D76*$J$76</f>
        <v>15830.495999999999</v>
      </c>
      <c r="M76" s="295">
        <f t="shared" ref="M76:Q76" si="13">E76*$J$76</f>
        <v>16562.581199999997</v>
      </c>
      <c r="N76" s="295">
        <f t="shared" si="13"/>
        <v>17291.334772800001</v>
      </c>
      <c r="O76" s="295">
        <f t="shared" si="13"/>
        <v>17982.988163712002</v>
      </c>
      <c r="P76" s="295">
        <f t="shared" si="13"/>
        <v>18504.494820459648</v>
      </c>
      <c r="Q76" s="295">
        <f t="shared" si="13"/>
        <v>19041.125170252973</v>
      </c>
      <c r="R76" s="296">
        <f>M76/L76*100</f>
        <v>104.62452471482888</v>
      </c>
      <c r="S76" s="296">
        <f t="shared" ref="S76:V91" si="14">N76/M76*100</f>
        <v>104.40000000000002</v>
      </c>
      <c r="T76" s="296">
        <f t="shared" si="14"/>
        <v>104</v>
      </c>
      <c r="U76" s="296">
        <f t="shared" si="14"/>
        <v>102.89999999999999</v>
      </c>
      <c r="V76" s="296">
        <f t="shared" si="14"/>
        <v>102.89999999999996</v>
      </c>
      <c r="W76" s="306"/>
      <c r="X76" s="306"/>
      <c r="Y76" s="306"/>
      <c r="Z76" s="306"/>
      <c r="AA76" s="306"/>
      <c r="AB76" s="155"/>
    </row>
    <row r="77" spans="1:28" ht="92.25" x14ac:dyDescent="0.4">
      <c r="A77" s="8" t="s">
        <v>228</v>
      </c>
      <c r="B77" s="41" t="s">
        <v>30</v>
      </c>
      <c r="C77" s="11">
        <v>138.30000000000001</v>
      </c>
      <c r="D77" s="100">
        <v>110.5</v>
      </c>
      <c r="E77" s="100">
        <v>112.1</v>
      </c>
      <c r="F77" s="100">
        <f t="shared" ref="F77:F81" si="15">E77*$X$77</f>
        <v>117.0324</v>
      </c>
      <c r="G77" s="100">
        <f t="shared" ref="G77:G80" si="16">F77*$Y$77</f>
        <v>121.713696</v>
      </c>
      <c r="H77" s="100">
        <f t="shared" ref="H77:H81" si="17">G77*$Z$77</f>
        <v>125.24339318399998</v>
      </c>
      <c r="I77" s="100">
        <f t="shared" ref="I77:I80" si="18">H77*$AA$77</f>
        <v>128.87545158633597</v>
      </c>
      <c r="J77" s="101">
        <v>97.04</v>
      </c>
      <c r="K77" s="295">
        <f>C77*J77</f>
        <v>13420.632000000001</v>
      </c>
      <c r="L77" s="295">
        <f>D77*$J$77</f>
        <v>10722.92</v>
      </c>
      <c r="M77" s="295">
        <f t="shared" ref="M77:Q77" si="19">E77*$J$77</f>
        <v>10878.183999999999</v>
      </c>
      <c r="N77" s="295">
        <f t="shared" si="19"/>
        <v>11356.824096</v>
      </c>
      <c r="O77" s="295">
        <f t="shared" si="19"/>
        <v>11811.09705984</v>
      </c>
      <c r="P77" s="295">
        <f t="shared" si="19"/>
        <v>12153.618874575359</v>
      </c>
      <c r="Q77" s="295">
        <f t="shared" si="19"/>
        <v>12506.073821938044</v>
      </c>
      <c r="R77" s="296">
        <f t="shared" ref="R77:R80" si="20">M77/L77*100</f>
        <v>101.44796380090497</v>
      </c>
      <c r="S77" s="296">
        <f t="shared" si="14"/>
        <v>104.4</v>
      </c>
      <c r="T77" s="296">
        <f t="shared" si="14"/>
        <v>104</v>
      </c>
      <c r="U77" s="296">
        <f t="shared" si="14"/>
        <v>102.89999999999999</v>
      </c>
      <c r="V77" s="296">
        <f t="shared" si="14"/>
        <v>102.89999999999999</v>
      </c>
      <c r="W77" s="307" t="s">
        <v>510</v>
      </c>
      <c r="X77" s="308">
        <v>1.044</v>
      </c>
      <c r="Y77" s="308">
        <v>1.04</v>
      </c>
      <c r="Z77" s="308">
        <v>1.0289999999999999</v>
      </c>
      <c r="AA77" s="308">
        <v>1.0289999999999999</v>
      </c>
      <c r="AB77" s="155"/>
    </row>
    <row r="78" spans="1:28" ht="52.5" hidden="1" x14ac:dyDescent="0.4">
      <c r="A78" s="8" t="s">
        <v>229</v>
      </c>
      <c r="B78" s="41" t="s">
        <v>30</v>
      </c>
      <c r="C78" s="11"/>
      <c r="D78" s="100"/>
      <c r="E78" s="100"/>
      <c r="F78" s="100">
        <f t="shared" si="15"/>
        <v>0</v>
      </c>
      <c r="G78" s="100">
        <f t="shared" si="16"/>
        <v>0</v>
      </c>
      <c r="H78" s="100">
        <f t="shared" si="17"/>
        <v>0</v>
      </c>
      <c r="I78" s="100">
        <f t="shared" si="18"/>
        <v>0</v>
      </c>
      <c r="J78" s="101">
        <v>40.6</v>
      </c>
      <c r="K78" s="295"/>
      <c r="L78" s="295"/>
      <c r="M78" s="295"/>
      <c r="N78" s="295"/>
      <c r="O78" s="295"/>
      <c r="P78" s="295"/>
      <c r="Q78" s="295"/>
      <c r="R78" s="296" t="e">
        <f t="shared" si="20"/>
        <v>#DIV/0!</v>
      </c>
      <c r="S78" s="296" t="e">
        <f t="shared" si="14"/>
        <v>#DIV/0!</v>
      </c>
      <c r="T78" s="296" t="e">
        <f t="shared" si="14"/>
        <v>#DIV/0!</v>
      </c>
      <c r="U78" s="296" t="e">
        <f t="shared" si="14"/>
        <v>#DIV/0!</v>
      </c>
      <c r="V78" s="296" t="e">
        <f t="shared" si="14"/>
        <v>#DIV/0!</v>
      </c>
      <c r="W78" s="306"/>
      <c r="X78" s="306"/>
      <c r="Y78" s="306"/>
      <c r="Z78" s="306"/>
      <c r="AA78" s="306"/>
      <c r="AB78" s="155"/>
    </row>
    <row r="79" spans="1:28" ht="78.75" hidden="1" x14ac:dyDescent="0.4">
      <c r="A79" s="8" t="s">
        <v>230</v>
      </c>
      <c r="B79" s="41" t="s">
        <v>30</v>
      </c>
      <c r="C79" s="11"/>
      <c r="D79" s="100"/>
      <c r="E79" s="100"/>
      <c r="F79" s="100">
        <f t="shared" si="15"/>
        <v>0</v>
      </c>
      <c r="G79" s="100">
        <f t="shared" si="16"/>
        <v>0</v>
      </c>
      <c r="H79" s="100">
        <f t="shared" si="17"/>
        <v>0</v>
      </c>
      <c r="I79" s="100">
        <f t="shared" si="18"/>
        <v>0</v>
      </c>
      <c r="J79" s="101">
        <v>47.2</v>
      </c>
      <c r="K79" s="295"/>
      <c r="L79" s="295"/>
      <c r="M79" s="295"/>
      <c r="N79" s="295"/>
      <c r="O79" s="295"/>
      <c r="P79" s="295"/>
      <c r="Q79" s="295"/>
      <c r="R79" s="296" t="e">
        <f t="shared" si="20"/>
        <v>#DIV/0!</v>
      </c>
      <c r="S79" s="296" t="e">
        <f t="shared" si="14"/>
        <v>#DIV/0!</v>
      </c>
      <c r="T79" s="296" t="e">
        <f t="shared" si="14"/>
        <v>#DIV/0!</v>
      </c>
      <c r="U79" s="296" t="e">
        <f t="shared" si="14"/>
        <v>#DIV/0!</v>
      </c>
      <c r="V79" s="296" t="e">
        <f t="shared" si="14"/>
        <v>#DIV/0!</v>
      </c>
      <c r="W79" s="306"/>
      <c r="X79" s="306"/>
      <c r="Y79" s="306"/>
      <c r="Z79" s="306"/>
      <c r="AA79" s="306"/>
      <c r="AB79" s="155"/>
    </row>
    <row r="80" spans="1:28" ht="52.5" hidden="1" x14ac:dyDescent="0.4">
      <c r="A80" s="8" t="s">
        <v>231</v>
      </c>
      <c r="B80" s="41" t="s">
        <v>30</v>
      </c>
      <c r="C80" s="11"/>
      <c r="D80" s="100"/>
      <c r="E80" s="100"/>
      <c r="F80" s="100">
        <f t="shared" si="15"/>
        <v>0</v>
      </c>
      <c r="G80" s="100">
        <f t="shared" si="16"/>
        <v>0</v>
      </c>
      <c r="H80" s="100">
        <f t="shared" si="17"/>
        <v>0</v>
      </c>
      <c r="I80" s="100">
        <f t="shared" si="18"/>
        <v>0</v>
      </c>
      <c r="J80" s="101">
        <v>67.5</v>
      </c>
      <c r="K80" s="295"/>
      <c r="L80" s="295"/>
      <c r="M80" s="295"/>
      <c r="N80" s="295"/>
      <c r="O80" s="295"/>
      <c r="P80" s="295"/>
      <c r="Q80" s="295"/>
      <c r="R80" s="296" t="e">
        <f t="shared" si="20"/>
        <v>#DIV/0!</v>
      </c>
      <c r="S80" s="296" t="e">
        <f t="shared" si="14"/>
        <v>#DIV/0!</v>
      </c>
      <c r="T80" s="296" t="e">
        <f t="shared" si="14"/>
        <v>#DIV/0!</v>
      </c>
      <c r="U80" s="296" t="e">
        <f t="shared" si="14"/>
        <v>#DIV/0!</v>
      </c>
      <c r="V80" s="296" t="e">
        <f t="shared" si="14"/>
        <v>#DIV/0!</v>
      </c>
      <c r="W80" s="306"/>
      <c r="X80" s="306"/>
      <c r="Y80" s="306"/>
      <c r="Z80" s="306"/>
      <c r="AA80" s="306"/>
      <c r="AB80" s="155"/>
    </row>
    <row r="81" spans="1:28" ht="52.5" x14ac:dyDescent="0.4">
      <c r="A81" s="8" t="s">
        <v>232</v>
      </c>
      <c r="B81" s="41" t="s">
        <v>30</v>
      </c>
      <c r="C81" s="11">
        <v>2104.6999999999998</v>
      </c>
      <c r="D81" s="100">
        <v>2920</v>
      </c>
      <c r="E81" s="100">
        <v>3630</v>
      </c>
      <c r="F81" s="100">
        <f t="shared" si="15"/>
        <v>3789.7200000000003</v>
      </c>
      <c r="G81" s="100">
        <f>F81*$Y$77</f>
        <v>3941.3088000000002</v>
      </c>
      <c r="H81" s="100">
        <f t="shared" si="17"/>
        <v>4055.6067552</v>
      </c>
      <c r="I81" s="100">
        <f>H81*$AA$77</f>
        <v>4173.2193511007999</v>
      </c>
      <c r="J81" s="101">
        <v>14.2</v>
      </c>
      <c r="K81" s="295">
        <f>C81*J81</f>
        <v>29886.739999999994</v>
      </c>
      <c r="L81" s="295">
        <f>D81*$J$81</f>
        <v>41464</v>
      </c>
      <c r="M81" s="295">
        <f t="shared" ref="M81:P81" si="21">E81*$J$81</f>
        <v>51546</v>
      </c>
      <c r="N81" s="295">
        <f t="shared" si="21"/>
        <v>53814.023999999998</v>
      </c>
      <c r="O81" s="295">
        <f t="shared" si="21"/>
        <v>55966.58496</v>
      </c>
      <c r="P81" s="295">
        <f t="shared" si="21"/>
        <v>57589.61592384</v>
      </c>
      <c r="Q81" s="295">
        <f>I81*$J$81</f>
        <v>59259.714785631353</v>
      </c>
      <c r="R81" s="296">
        <f>M81/L81*100</f>
        <v>124.31506849315068</v>
      </c>
      <c r="S81" s="296">
        <f t="shared" si="14"/>
        <v>104.4</v>
      </c>
      <c r="T81" s="296">
        <f t="shared" si="14"/>
        <v>104</v>
      </c>
      <c r="U81" s="296">
        <f t="shared" si="14"/>
        <v>102.89999999999999</v>
      </c>
      <c r="V81" s="296">
        <f>Q81/P81*100</f>
        <v>102.89999999999999</v>
      </c>
      <c r="W81" s="306"/>
      <c r="X81" s="306"/>
      <c r="Y81" s="306"/>
      <c r="Z81" s="306"/>
      <c r="AA81" s="306"/>
      <c r="AB81" s="155"/>
    </row>
    <row r="82" spans="1:28" ht="26.25" hidden="1" x14ac:dyDescent="0.4">
      <c r="A82" s="8" t="s">
        <v>233</v>
      </c>
      <c r="B82" s="41" t="s">
        <v>32</v>
      </c>
      <c r="C82" s="5"/>
      <c r="D82" s="5"/>
      <c r="E82" s="5"/>
      <c r="F82" s="5"/>
      <c r="G82" s="5"/>
      <c r="H82" s="5"/>
      <c r="I82" s="5"/>
      <c r="J82" s="49">
        <v>12.62</v>
      </c>
      <c r="K82" s="7">
        <f t="shared" ref="K82:K101" si="22">C82*J82</f>
        <v>0</v>
      </c>
      <c r="L82" s="7">
        <f t="shared" ref="L82:L101" si="23">D82*J82</f>
        <v>0</v>
      </c>
      <c r="M82" s="7">
        <f t="shared" ref="M82:M101" si="24">E82*J82</f>
        <v>0</v>
      </c>
      <c r="N82" s="7">
        <f t="shared" ref="N82:N101" si="25">F82*J82</f>
        <v>0</v>
      </c>
      <c r="O82" s="7">
        <f t="shared" ref="O82:O101" si="26">G82*J82</f>
        <v>0</v>
      </c>
      <c r="P82" s="7">
        <f t="shared" ref="P82:P101" si="27">H82*J82</f>
        <v>0</v>
      </c>
      <c r="Q82" s="7"/>
      <c r="R82" s="102" t="e">
        <f t="shared" ref="R82:V96" si="28">M82/L82*100</f>
        <v>#DIV/0!</v>
      </c>
      <c r="S82" s="102" t="e">
        <f t="shared" si="14"/>
        <v>#DIV/0!</v>
      </c>
      <c r="T82" s="102" t="e">
        <f t="shared" si="14"/>
        <v>#DIV/0!</v>
      </c>
      <c r="U82" s="102" t="e">
        <f t="shared" si="14"/>
        <v>#DIV/0!</v>
      </c>
      <c r="V82" s="102" t="e">
        <f t="shared" si="14"/>
        <v>#DIV/0!</v>
      </c>
      <c r="W82" s="306"/>
      <c r="X82" s="306"/>
      <c r="Y82" s="306"/>
      <c r="Z82" s="306"/>
      <c r="AA82" s="306"/>
      <c r="AB82" s="155"/>
    </row>
    <row r="83" spans="1:28" ht="26.25" hidden="1" x14ac:dyDescent="0.4">
      <c r="A83" s="8" t="s">
        <v>234</v>
      </c>
      <c r="B83" s="41" t="s">
        <v>30</v>
      </c>
      <c r="C83" s="5"/>
      <c r="D83" s="5"/>
      <c r="E83" s="5"/>
      <c r="F83" s="5"/>
      <c r="G83" s="5"/>
      <c r="H83" s="5"/>
      <c r="I83" s="5"/>
      <c r="J83" s="49">
        <v>49.22</v>
      </c>
      <c r="K83" s="7">
        <f t="shared" si="22"/>
        <v>0</v>
      </c>
      <c r="L83" s="7">
        <f t="shared" si="23"/>
        <v>0</v>
      </c>
      <c r="M83" s="7">
        <f t="shared" si="24"/>
        <v>0</v>
      </c>
      <c r="N83" s="7">
        <f t="shared" si="25"/>
        <v>0</v>
      </c>
      <c r="O83" s="7">
        <f t="shared" si="26"/>
        <v>0</v>
      </c>
      <c r="P83" s="7">
        <f t="shared" si="27"/>
        <v>0</v>
      </c>
      <c r="Q83" s="7"/>
      <c r="R83" s="102" t="e">
        <f t="shared" si="28"/>
        <v>#DIV/0!</v>
      </c>
      <c r="S83" s="102" t="e">
        <f t="shared" si="14"/>
        <v>#DIV/0!</v>
      </c>
      <c r="T83" s="102" t="e">
        <f t="shared" si="14"/>
        <v>#DIV/0!</v>
      </c>
      <c r="U83" s="102" t="e">
        <f t="shared" si="14"/>
        <v>#DIV/0!</v>
      </c>
      <c r="V83" s="102" t="e">
        <f t="shared" si="14"/>
        <v>#DIV/0!</v>
      </c>
      <c r="W83" s="306"/>
      <c r="X83" s="306"/>
      <c r="Y83" s="306"/>
      <c r="Z83" s="306"/>
      <c r="AA83" s="306"/>
      <c r="AB83" s="155"/>
    </row>
    <row r="84" spans="1:28" ht="26.25" hidden="1" x14ac:dyDescent="0.4">
      <c r="A84" s="8" t="s">
        <v>235</v>
      </c>
      <c r="B84" s="41" t="s">
        <v>30</v>
      </c>
      <c r="C84" s="5"/>
      <c r="D84" s="5"/>
      <c r="E84" s="5"/>
      <c r="F84" s="5"/>
      <c r="G84" s="5"/>
      <c r="H84" s="5"/>
      <c r="I84" s="5"/>
      <c r="J84" s="49">
        <v>58</v>
      </c>
      <c r="K84" s="7">
        <f t="shared" si="22"/>
        <v>0</v>
      </c>
      <c r="L84" s="7">
        <f t="shared" si="23"/>
        <v>0</v>
      </c>
      <c r="M84" s="7">
        <f t="shared" si="24"/>
        <v>0</v>
      </c>
      <c r="N84" s="7">
        <f t="shared" si="25"/>
        <v>0</v>
      </c>
      <c r="O84" s="7">
        <f t="shared" si="26"/>
        <v>0</v>
      </c>
      <c r="P84" s="7">
        <f t="shared" si="27"/>
        <v>0</v>
      </c>
      <c r="Q84" s="7"/>
      <c r="R84" s="102" t="e">
        <f t="shared" si="28"/>
        <v>#DIV/0!</v>
      </c>
      <c r="S84" s="102" t="e">
        <f t="shared" si="14"/>
        <v>#DIV/0!</v>
      </c>
      <c r="T84" s="102" t="e">
        <f t="shared" si="14"/>
        <v>#DIV/0!</v>
      </c>
      <c r="U84" s="102" t="e">
        <f t="shared" si="14"/>
        <v>#DIV/0!</v>
      </c>
      <c r="V84" s="102" t="e">
        <f t="shared" si="14"/>
        <v>#DIV/0!</v>
      </c>
      <c r="W84" s="306"/>
      <c r="X84" s="306"/>
      <c r="Y84" s="306"/>
      <c r="Z84" s="306"/>
      <c r="AA84" s="306"/>
      <c r="AB84" s="155"/>
    </row>
    <row r="85" spans="1:28" ht="26.25" hidden="1" x14ac:dyDescent="0.4">
      <c r="A85" s="8" t="s">
        <v>236</v>
      </c>
      <c r="B85" s="41" t="s">
        <v>30</v>
      </c>
      <c r="C85" s="5"/>
      <c r="D85" s="5"/>
      <c r="E85" s="5"/>
      <c r="F85" s="5"/>
      <c r="G85" s="5"/>
      <c r="H85" s="5"/>
      <c r="I85" s="5"/>
      <c r="J85" s="49">
        <v>85.11</v>
      </c>
      <c r="K85" s="7">
        <f t="shared" si="22"/>
        <v>0</v>
      </c>
      <c r="L85" s="7">
        <f t="shared" si="23"/>
        <v>0</v>
      </c>
      <c r="M85" s="7">
        <f t="shared" si="24"/>
        <v>0</v>
      </c>
      <c r="N85" s="7">
        <f t="shared" si="25"/>
        <v>0</v>
      </c>
      <c r="O85" s="7">
        <f t="shared" si="26"/>
        <v>0</v>
      </c>
      <c r="P85" s="7">
        <f t="shared" si="27"/>
        <v>0</v>
      </c>
      <c r="Q85" s="7"/>
      <c r="R85" s="102" t="e">
        <f t="shared" si="28"/>
        <v>#DIV/0!</v>
      </c>
      <c r="S85" s="102" t="e">
        <f t="shared" si="14"/>
        <v>#DIV/0!</v>
      </c>
      <c r="T85" s="102" t="e">
        <f t="shared" si="14"/>
        <v>#DIV/0!</v>
      </c>
      <c r="U85" s="102" t="e">
        <f t="shared" si="14"/>
        <v>#DIV/0!</v>
      </c>
      <c r="V85" s="102" t="e">
        <f t="shared" si="14"/>
        <v>#DIV/0!</v>
      </c>
      <c r="W85" s="306"/>
      <c r="X85" s="306"/>
      <c r="Y85" s="306"/>
      <c r="Z85" s="306"/>
      <c r="AA85" s="306"/>
      <c r="AB85" s="155"/>
    </row>
    <row r="86" spans="1:28" ht="26.25" hidden="1" x14ac:dyDescent="0.4">
      <c r="A86" s="8" t="s">
        <v>237</v>
      </c>
      <c r="B86" s="41" t="s">
        <v>30</v>
      </c>
      <c r="C86" s="5"/>
      <c r="D86" s="5"/>
      <c r="E86" s="5"/>
      <c r="F86" s="5"/>
      <c r="G86" s="5"/>
      <c r="H86" s="5"/>
      <c r="I86" s="5"/>
      <c r="J86" s="49">
        <v>1.93</v>
      </c>
      <c r="K86" s="7">
        <f t="shared" si="22"/>
        <v>0</v>
      </c>
      <c r="L86" s="7">
        <f t="shared" si="23"/>
        <v>0</v>
      </c>
      <c r="M86" s="7">
        <f t="shared" si="24"/>
        <v>0</v>
      </c>
      <c r="N86" s="7">
        <f t="shared" si="25"/>
        <v>0</v>
      </c>
      <c r="O86" s="7">
        <f t="shared" si="26"/>
        <v>0</v>
      </c>
      <c r="P86" s="7">
        <f t="shared" si="27"/>
        <v>0</v>
      </c>
      <c r="Q86" s="7"/>
      <c r="R86" s="102" t="e">
        <f t="shared" si="28"/>
        <v>#DIV/0!</v>
      </c>
      <c r="S86" s="102" t="e">
        <f t="shared" si="14"/>
        <v>#DIV/0!</v>
      </c>
      <c r="T86" s="102" t="e">
        <f t="shared" si="14"/>
        <v>#DIV/0!</v>
      </c>
      <c r="U86" s="102" t="e">
        <f t="shared" si="14"/>
        <v>#DIV/0!</v>
      </c>
      <c r="V86" s="102" t="e">
        <f t="shared" si="14"/>
        <v>#DIV/0!</v>
      </c>
      <c r="W86" s="306"/>
      <c r="X86" s="306"/>
      <c r="Y86" s="306"/>
      <c r="Z86" s="306"/>
      <c r="AA86" s="306"/>
      <c r="AB86" s="155"/>
    </row>
    <row r="87" spans="1:28" ht="26.25" hidden="1" x14ac:dyDescent="0.4">
      <c r="A87" s="8" t="s">
        <v>238</v>
      </c>
      <c r="B87" s="41" t="s">
        <v>30</v>
      </c>
      <c r="C87" s="5"/>
      <c r="D87" s="5"/>
      <c r="E87" s="5"/>
      <c r="F87" s="5"/>
      <c r="G87" s="5"/>
      <c r="H87" s="5"/>
      <c r="I87" s="5"/>
      <c r="J87" s="49">
        <v>279.60000000000002</v>
      </c>
      <c r="K87" s="7">
        <f t="shared" si="22"/>
        <v>0</v>
      </c>
      <c r="L87" s="7">
        <f t="shared" si="23"/>
        <v>0</v>
      </c>
      <c r="M87" s="7">
        <f t="shared" si="24"/>
        <v>0</v>
      </c>
      <c r="N87" s="7">
        <f t="shared" si="25"/>
        <v>0</v>
      </c>
      <c r="O87" s="7">
        <f t="shared" si="26"/>
        <v>0</v>
      </c>
      <c r="P87" s="7">
        <f t="shared" si="27"/>
        <v>0</v>
      </c>
      <c r="Q87" s="7"/>
      <c r="R87" s="102" t="e">
        <f t="shared" si="28"/>
        <v>#DIV/0!</v>
      </c>
      <c r="S87" s="102" t="e">
        <f t="shared" si="14"/>
        <v>#DIV/0!</v>
      </c>
      <c r="T87" s="102" t="e">
        <f t="shared" si="14"/>
        <v>#DIV/0!</v>
      </c>
      <c r="U87" s="102" t="e">
        <f t="shared" si="14"/>
        <v>#DIV/0!</v>
      </c>
      <c r="V87" s="102" t="e">
        <f t="shared" si="14"/>
        <v>#DIV/0!</v>
      </c>
      <c r="W87" s="306"/>
      <c r="X87" s="306"/>
      <c r="Y87" s="306"/>
      <c r="Z87" s="306"/>
      <c r="AA87" s="306"/>
      <c r="AB87" s="155"/>
    </row>
    <row r="88" spans="1:28" ht="105" hidden="1" x14ac:dyDescent="0.4">
      <c r="A88" s="8" t="s">
        <v>239</v>
      </c>
      <c r="B88" s="41" t="s">
        <v>30</v>
      </c>
      <c r="C88" s="5"/>
      <c r="D88" s="5"/>
      <c r="E88" s="5"/>
      <c r="F88" s="5"/>
      <c r="G88" s="5"/>
      <c r="H88" s="5"/>
      <c r="I88" s="5"/>
      <c r="J88" s="49">
        <v>61.1</v>
      </c>
      <c r="K88" s="7">
        <f t="shared" si="22"/>
        <v>0</v>
      </c>
      <c r="L88" s="7">
        <f t="shared" si="23"/>
        <v>0</v>
      </c>
      <c r="M88" s="7">
        <f t="shared" si="24"/>
        <v>0</v>
      </c>
      <c r="N88" s="7">
        <f t="shared" si="25"/>
        <v>0</v>
      </c>
      <c r="O88" s="7">
        <f t="shared" si="26"/>
        <v>0</v>
      </c>
      <c r="P88" s="7">
        <f t="shared" si="27"/>
        <v>0</v>
      </c>
      <c r="Q88" s="7"/>
      <c r="R88" s="102" t="e">
        <f t="shared" si="28"/>
        <v>#DIV/0!</v>
      </c>
      <c r="S88" s="102" t="e">
        <f t="shared" si="14"/>
        <v>#DIV/0!</v>
      </c>
      <c r="T88" s="102" t="e">
        <f t="shared" si="14"/>
        <v>#DIV/0!</v>
      </c>
      <c r="U88" s="102" t="e">
        <f t="shared" si="14"/>
        <v>#DIV/0!</v>
      </c>
      <c r="V88" s="102" t="e">
        <f t="shared" si="14"/>
        <v>#DIV/0!</v>
      </c>
      <c r="W88" s="306"/>
      <c r="X88" s="306"/>
      <c r="Y88" s="306"/>
      <c r="Z88" s="306"/>
      <c r="AA88" s="306"/>
      <c r="AB88" s="155"/>
    </row>
    <row r="89" spans="1:28" ht="52.5" hidden="1" x14ac:dyDescent="0.4">
      <c r="A89" s="8" t="s">
        <v>240</v>
      </c>
      <c r="B89" s="41" t="s">
        <v>30</v>
      </c>
      <c r="C89" s="5"/>
      <c r="D89" s="5"/>
      <c r="E89" s="5"/>
      <c r="F89" s="5"/>
      <c r="G89" s="5"/>
      <c r="H89" s="5"/>
      <c r="I89" s="5"/>
      <c r="J89" s="49">
        <v>75.14</v>
      </c>
      <c r="K89" s="7">
        <f t="shared" si="22"/>
        <v>0</v>
      </c>
      <c r="L89" s="7">
        <f t="shared" si="23"/>
        <v>0</v>
      </c>
      <c r="M89" s="7">
        <f t="shared" si="24"/>
        <v>0</v>
      </c>
      <c r="N89" s="7">
        <f t="shared" si="25"/>
        <v>0</v>
      </c>
      <c r="O89" s="7">
        <f t="shared" si="26"/>
        <v>0</v>
      </c>
      <c r="P89" s="7">
        <f t="shared" si="27"/>
        <v>0</v>
      </c>
      <c r="Q89" s="7"/>
      <c r="R89" s="102" t="e">
        <f t="shared" si="28"/>
        <v>#DIV/0!</v>
      </c>
      <c r="S89" s="102" t="e">
        <f t="shared" si="14"/>
        <v>#DIV/0!</v>
      </c>
      <c r="T89" s="102" t="e">
        <f t="shared" si="14"/>
        <v>#DIV/0!</v>
      </c>
      <c r="U89" s="102" t="e">
        <f t="shared" si="14"/>
        <v>#DIV/0!</v>
      </c>
      <c r="V89" s="102" t="e">
        <f t="shared" si="14"/>
        <v>#DIV/0!</v>
      </c>
      <c r="W89" s="306"/>
      <c r="X89" s="306"/>
      <c r="Y89" s="306"/>
      <c r="Z89" s="306"/>
      <c r="AA89" s="306"/>
      <c r="AB89" s="155"/>
    </row>
    <row r="90" spans="1:28" ht="78.75" hidden="1" x14ac:dyDescent="0.4">
      <c r="A90" s="8" t="s">
        <v>241</v>
      </c>
      <c r="B90" s="41" t="s">
        <v>30</v>
      </c>
      <c r="C90" s="5"/>
      <c r="D90" s="5"/>
      <c r="E90" s="5"/>
      <c r="F90" s="5"/>
      <c r="G90" s="5"/>
      <c r="H90" s="5"/>
      <c r="I90" s="5"/>
      <c r="J90" s="49">
        <v>110.7</v>
      </c>
      <c r="K90" s="7">
        <f t="shared" si="22"/>
        <v>0</v>
      </c>
      <c r="L90" s="7">
        <f t="shared" si="23"/>
        <v>0</v>
      </c>
      <c r="M90" s="7">
        <f t="shared" si="24"/>
        <v>0</v>
      </c>
      <c r="N90" s="7">
        <f t="shared" si="25"/>
        <v>0</v>
      </c>
      <c r="O90" s="7">
        <f t="shared" si="26"/>
        <v>0</v>
      </c>
      <c r="P90" s="7">
        <f t="shared" si="27"/>
        <v>0</v>
      </c>
      <c r="Q90" s="7"/>
      <c r="R90" s="102" t="e">
        <f t="shared" si="28"/>
        <v>#DIV/0!</v>
      </c>
      <c r="S90" s="102" t="e">
        <f t="shared" si="14"/>
        <v>#DIV/0!</v>
      </c>
      <c r="T90" s="102" t="e">
        <f t="shared" si="14"/>
        <v>#DIV/0!</v>
      </c>
      <c r="U90" s="102" t="e">
        <f t="shared" si="14"/>
        <v>#DIV/0!</v>
      </c>
      <c r="V90" s="102" t="e">
        <f t="shared" si="14"/>
        <v>#DIV/0!</v>
      </c>
      <c r="W90" s="306"/>
      <c r="X90" s="306"/>
      <c r="Y90" s="306"/>
      <c r="Z90" s="306"/>
      <c r="AA90" s="306"/>
      <c r="AB90" s="155"/>
    </row>
    <row r="91" spans="1:28" ht="53.25" hidden="1" customHeight="1" x14ac:dyDescent="0.4">
      <c r="A91" s="8" t="s">
        <v>242</v>
      </c>
      <c r="B91" s="41" t="s">
        <v>30</v>
      </c>
      <c r="C91" s="5"/>
      <c r="D91" s="5"/>
      <c r="E91" s="5"/>
      <c r="F91" s="5"/>
      <c r="G91" s="5"/>
      <c r="H91" s="5"/>
      <c r="I91" s="5"/>
      <c r="J91" s="49">
        <v>62.2</v>
      </c>
      <c r="K91" s="7">
        <f t="shared" si="22"/>
        <v>0</v>
      </c>
      <c r="L91" s="7">
        <f t="shared" si="23"/>
        <v>0</v>
      </c>
      <c r="M91" s="7">
        <f t="shared" si="24"/>
        <v>0</v>
      </c>
      <c r="N91" s="7">
        <f t="shared" si="25"/>
        <v>0</v>
      </c>
      <c r="O91" s="7">
        <f t="shared" si="26"/>
        <v>0</v>
      </c>
      <c r="P91" s="7">
        <f t="shared" si="27"/>
        <v>0</v>
      </c>
      <c r="Q91" s="7"/>
      <c r="R91" s="102" t="e">
        <f t="shared" si="28"/>
        <v>#DIV/0!</v>
      </c>
      <c r="S91" s="102" t="e">
        <f t="shared" si="14"/>
        <v>#DIV/0!</v>
      </c>
      <c r="T91" s="102" t="e">
        <f t="shared" si="14"/>
        <v>#DIV/0!</v>
      </c>
      <c r="U91" s="102" t="e">
        <f t="shared" si="14"/>
        <v>#DIV/0!</v>
      </c>
      <c r="V91" s="102" t="e">
        <f t="shared" si="14"/>
        <v>#DIV/0!</v>
      </c>
      <c r="W91" s="306"/>
      <c r="X91" s="306"/>
      <c r="Y91" s="306"/>
      <c r="Z91" s="306"/>
      <c r="AA91" s="306"/>
      <c r="AB91" s="155"/>
    </row>
    <row r="92" spans="1:28" ht="26.25" hidden="1" x14ac:dyDescent="0.4">
      <c r="A92" s="8" t="s">
        <v>243</v>
      </c>
      <c r="B92" s="9" t="s">
        <v>30</v>
      </c>
      <c r="C92" s="5"/>
      <c r="D92" s="5"/>
      <c r="E92" s="5"/>
      <c r="F92" s="5"/>
      <c r="G92" s="5"/>
      <c r="H92" s="5"/>
      <c r="I92" s="5"/>
      <c r="J92" s="49">
        <v>20.6</v>
      </c>
      <c r="K92" s="7">
        <f t="shared" si="22"/>
        <v>0</v>
      </c>
      <c r="L92" s="7">
        <f t="shared" si="23"/>
        <v>0</v>
      </c>
      <c r="M92" s="7">
        <f t="shared" si="24"/>
        <v>0</v>
      </c>
      <c r="N92" s="7">
        <f t="shared" si="25"/>
        <v>0</v>
      </c>
      <c r="O92" s="7">
        <f t="shared" si="26"/>
        <v>0</v>
      </c>
      <c r="P92" s="7">
        <f t="shared" si="27"/>
        <v>0</v>
      </c>
      <c r="Q92" s="7"/>
      <c r="R92" s="102" t="e">
        <f t="shared" si="28"/>
        <v>#DIV/0!</v>
      </c>
      <c r="S92" s="102" t="e">
        <f t="shared" si="28"/>
        <v>#DIV/0!</v>
      </c>
      <c r="T92" s="102" t="e">
        <f t="shared" si="28"/>
        <v>#DIV/0!</v>
      </c>
      <c r="U92" s="102" t="e">
        <f t="shared" si="28"/>
        <v>#DIV/0!</v>
      </c>
      <c r="V92" s="102" t="e">
        <f t="shared" si="28"/>
        <v>#DIV/0!</v>
      </c>
      <c r="W92" s="306"/>
      <c r="X92" s="306"/>
      <c r="Y92" s="306"/>
      <c r="Z92" s="306"/>
      <c r="AA92" s="306"/>
      <c r="AB92" s="155"/>
    </row>
    <row r="93" spans="1:28" ht="26.25" hidden="1" x14ac:dyDescent="0.4">
      <c r="A93" s="8" t="s">
        <v>244</v>
      </c>
      <c r="B93" s="9" t="s">
        <v>30</v>
      </c>
      <c r="C93" s="5"/>
      <c r="D93" s="5"/>
      <c r="E93" s="5"/>
      <c r="F93" s="5"/>
      <c r="G93" s="5"/>
      <c r="H93" s="5"/>
      <c r="I93" s="5"/>
      <c r="J93" s="49">
        <v>9.57</v>
      </c>
      <c r="K93" s="7">
        <f t="shared" si="22"/>
        <v>0</v>
      </c>
      <c r="L93" s="7">
        <f t="shared" si="23"/>
        <v>0</v>
      </c>
      <c r="M93" s="7">
        <f t="shared" si="24"/>
        <v>0</v>
      </c>
      <c r="N93" s="7">
        <f t="shared" si="25"/>
        <v>0</v>
      </c>
      <c r="O93" s="7">
        <f t="shared" si="26"/>
        <v>0</v>
      </c>
      <c r="P93" s="7">
        <f t="shared" si="27"/>
        <v>0</v>
      </c>
      <c r="Q93" s="7"/>
      <c r="R93" s="102" t="e">
        <f t="shared" si="28"/>
        <v>#DIV/0!</v>
      </c>
      <c r="S93" s="102" t="e">
        <f t="shared" si="28"/>
        <v>#DIV/0!</v>
      </c>
      <c r="T93" s="102" t="e">
        <f t="shared" si="28"/>
        <v>#DIV/0!</v>
      </c>
      <c r="U93" s="102" t="e">
        <f t="shared" si="28"/>
        <v>#DIV/0!</v>
      </c>
      <c r="V93" s="102" t="e">
        <f t="shared" si="28"/>
        <v>#DIV/0!</v>
      </c>
      <c r="W93" s="306"/>
      <c r="X93" s="306"/>
      <c r="Y93" s="306"/>
      <c r="Z93" s="306"/>
      <c r="AA93" s="306"/>
      <c r="AB93" s="155"/>
    </row>
    <row r="94" spans="1:28" ht="24.75" hidden="1" customHeight="1" x14ac:dyDescent="0.4">
      <c r="A94" s="8" t="s">
        <v>245</v>
      </c>
      <c r="B94" s="9" t="s">
        <v>30</v>
      </c>
      <c r="C94" s="5"/>
      <c r="D94" s="5"/>
      <c r="E94" s="5"/>
      <c r="F94" s="5"/>
      <c r="G94" s="5"/>
      <c r="H94" s="5"/>
      <c r="I94" s="5"/>
      <c r="J94" s="49">
        <v>5.21</v>
      </c>
      <c r="K94" s="7">
        <f t="shared" si="22"/>
        <v>0</v>
      </c>
      <c r="L94" s="7">
        <f t="shared" si="23"/>
        <v>0</v>
      </c>
      <c r="M94" s="7">
        <f t="shared" si="24"/>
        <v>0</v>
      </c>
      <c r="N94" s="7">
        <f t="shared" si="25"/>
        <v>0</v>
      </c>
      <c r="O94" s="7">
        <f t="shared" si="26"/>
        <v>0</v>
      </c>
      <c r="P94" s="7">
        <f t="shared" si="27"/>
        <v>0</v>
      </c>
      <c r="Q94" s="7"/>
      <c r="R94" s="102" t="e">
        <f t="shared" si="28"/>
        <v>#DIV/0!</v>
      </c>
      <c r="S94" s="102" t="e">
        <f t="shared" si="28"/>
        <v>#DIV/0!</v>
      </c>
      <c r="T94" s="102" t="e">
        <f t="shared" si="28"/>
        <v>#DIV/0!</v>
      </c>
      <c r="U94" s="102" t="e">
        <f t="shared" si="28"/>
        <v>#DIV/0!</v>
      </c>
      <c r="V94" s="102" t="e">
        <f t="shared" si="28"/>
        <v>#DIV/0!</v>
      </c>
      <c r="W94" s="306"/>
      <c r="X94" s="306"/>
      <c r="Y94" s="306"/>
      <c r="Z94" s="306"/>
      <c r="AA94" s="306"/>
      <c r="AB94" s="155"/>
    </row>
    <row r="95" spans="1:28" ht="26.25" hidden="1" x14ac:dyDescent="0.4">
      <c r="A95" s="8" t="s">
        <v>246</v>
      </c>
      <c r="B95" s="9" t="s">
        <v>30</v>
      </c>
      <c r="C95" s="5"/>
      <c r="D95" s="5"/>
      <c r="E95" s="5"/>
      <c r="F95" s="5"/>
      <c r="G95" s="5"/>
      <c r="H95" s="5"/>
      <c r="I95" s="5"/>
      <c r="J95" s="49">
        <v>7.25</v>
      </c>
      <c r="K95" s="7">
        <f t="shared" si="22"/>
        <v>0</v>
      </c>
      <c r="L95" s="7">
        <f t="shared" si="23"/>
        <v>0</v>
      </c>
      <c r="M95" s="7">
        <f t="shared" si="24"/>
        <v>0</v>
      </c>
      <c r="N95" s="7">
        <f t="shared" si="25"/>
        <v>0</v>
      </c>
      <c r="O95" s="7">
        <f t="shared" si="26"/>
        <v>0</v>
      </c>
      <c r="P95" s="7">
        <f t="shared" si="27"/>
        <v>0</v>
      </c>
      <c r="Q95" s="7"/>
      <c r="R95" s="102" t="e">
        <f t="shared" si="28"/>
        <v>#DIV/0!</v>
      </c>
      <c r="S95" s="102" t="e">
        <f t="shared" si="28"/>
        <v>#DIV/0!</v>
      </c>
      <c r="T95" s="102" t="e">
        <f t="shared" si="28"/>
        <v>#DIV/0!</v>
      </c>
      <c r="U95" s="102" t="e">
        <f t="shared" si="28"/>
        <v>#DIV/0!</v>
      </c>
      <c r="V95" s="102" t="e">
        <f t="shared" si="28"/>
        <v>#DIV/0!</v>
      </c>
      <c r="W95" s="306"/>
      <c r="X95" s="306"/>
      <c r="Y95" s="306"/>
      <c r="Z95" s="306"/>
      <c r="AA95" s="306"/>
      <c r="AB95" s="155"/>
    </row>
    <row r="96" spans="1:28" s="110" customFormat="1" ht="26.25" hidden="1" x14ac:dyDescent="0.4">
      <c r="A96" s="103"/>
      <c r="B96" s="104"/>
      <c r="C96" s="105"/>
      <c r="D96" s="105"/>
      <c r="E96" s="105"/>
      <c r="F96" s="105"/>
      <c r="G96" s="105"/>
      <c r="H96" s="105"/>
      <c r="I96" s="106"/>
      <c r="J96" s="107"/>
      <c r="K96" s="108">
        <f>K76+K77+K81</f>
        <v>72006.415999999997</v>
      </c>
      <c r="L96" s="108">
        <f>L76+L77+L81</f>
        <v>68017.415999999997</v>
      </c>
      <c r="M96" s="108">
        <f>M76+M77+M81</f>
        <v>78986.765199999994</v>
      </c>
      <c r="N96" s="108">
        <f t="shared" ref="N96:Q96" si="29">N76+N77+N81</f>
        <v>82462.182868799995</v>
      </c>
      <c r="O96" s="108">
        <f t="shared" si="29"/>
        <v>85760.670183551993</v>
      </c>
      <c r="P96" s="108">
        <f t="shared" si="29"/>
        <v>88247.729618875004</v>
      </c>
      <c r="Q96" s="108">
        <f t="shared" si="29"/>
        <v>90806.913777822367</v>
      </c>
      <c r="R96" s="109">
        <f>M96/L96*100</f>
        <v>116.12726540508389</v>
      </c>
      <c r="S96" s="109">
        <f t="shared" si="28"/>
        <v>104.4</v>
      </c>
      <c r="T96" s="109">
        <f t="shared" si="28"/>
        <v>104</v>
      </c>
      <c r="U96" s="109">
        <f t="shared" si="28"/>
        <v>102.90000000000002</v>
      </c>
      <c r="V96" s="109">
        <f>Q96/P96*100</f>
        <v>102.89999999999999</v>
      </c>
      <c r="W96" s="309"/>
      <c r="X96" s="309"/>
      <c r="Y96" s="309"/>
      <c r="Z96" s="309"/>
      <c r="AA96" s="309"/>
      <c r="AB96" s="310"/>
    </row>
    <row r="97" spans="1:28" ht="29.25" customHeight="1" x14ac:dyDescent="0.4">
      <c r="A97" s="4" t="s">
        <v>247</v>
      </c>
      <c r="B97" s="295"/>
      <c r="C97" s="100"/>
      <c r="D97" s="100"/>
      <c r="E97" s="100"/>
      <c r="F97" s="100"/>
      <c r="G97" s="100"/>
      <c r="H97" s="100"/>
      <c r="I97" s="288"/>
      <c r="J97" s="297"/>
      <c r="K97" s="295"/>
      <c r="L97" s="295"/>
      <c r="M97" s="295"/>
      <c r="N97" s="295"/>
      <c r="O97" s="295"/>
      <c r="P97" s="295"/>
      <c r="Q97" s="295"/>
      <c r="R97" s="295"/>
      <c r="S97" s="295"/>
      <c r="T97" s="295"/>
      <c r="U97" s="295"/>
      <c r="V97" s="295"/>
      <c r="W97" s="306"/>
      <c r="X97" s="306"/>
      <c r="Y97" s="306"/>
      <c r="Z97" s="306"/>
      <c r="AA97" s="306"/>
      <c r="AB97" s="155"/>
    </row>
    <row r="98" spans="1:28" ht="52.5" hidden="1" x14ac:dyDescent="0.4">
      <c r="A98" s="8" t="s">
        <v>248</v>
      </c>
      <c r="B98" s="101" t="s">
        <v>254</v>
      </c>
      <c r="C98" s="100"/>
      <c r="D98" s="100"/>
      <c r="E98" s="100"/>
      <c r="F98" s="100"/>
      <c r="G98" s="100"/>
      <c r="H98" s="100"/>
      <c r="I98" s="100"/>
      <c r="J98" s="101">
        <v>747.6</v>
      </c>
      <c r="K98" s="295">
        <f t="shared" si="22"/>
        <v>0</v>
      </c>
      <c r="L98" s="295">
        <f t="shared" si="23"/>
        <v>0</v>
      </c>
      <c r="M98" s="295">
        <f t="shared" si="24"/>
        <v>0</v>
      </c>
      <c r="N98" s="295">
        <f t="shared" si="25"/>
        <v>0</v>
      </c>
      <c r="O98" s="295">
        <f t="shared" si="26"/>
        <v>0</v>
      </c>
      <c r="P98" s="295">
        <f t="shared" si="27"/>
        <v>0</v>
      </c>
      <c r="Q98" s="295"/>
      <c r="R98" s="295"/>
      <c r="S98" s="295"/>
      <c r="T98" s="295"/>
      <c r="U98" s="295"/>
      <c r="V98" s="295"/>
      <c r="W98" s="306"/>
      <c r="X98" s="306"/>
      <c r="Y98" s="306"/>
      <c r="Z98" s="306"/>
      <c r="AA98" s="306"/>
      <c r="AB98" s="155"/>
    </row>
    <row r="99" spans="1:28" ht="52.5" hidden="1" x14ac:dyDescent="0.4">
      <c r="A99" s="8" t="s">
        <v>249</v>
      </c>
      <c r="B99" s="101" t="s">
        <v>254</v>
      </c>
      <c r="C99" s="100"/>
      <c r="D99" s="100"/>
      <c r="E99" s="100"/>
      <c r="F99" s="100"/>
      <c r="G99" s="100"/>
      <c r="H99" s="100"/>
      <c r="I99" s="100"/>
      <c r="J99" s="101">
        <v>134.16</v>
      </c>
      <c r="K99" s="295">
        <f t="shared" si="22"/>
        <v>0</v>
      </c>
      <c r="L99" s="295">
        <f t="shared" si="23"/>
        <v>0</v>
      </c>
      <c r="M99" s="295">
        <f t="shared" si="24"/>
        <v>0</v>
      </c>
      <c r="N99" s="295">
        <f t="shared" si="25"/>
        <v>0</v>
      </c>
      <c r="O99" s="295">
        <f t="shared" si="26"/>
        <v>0</v>
      </c>
      <c r="P99" s="295">
        <f t="shared" si="27"/>
        <v>0</v>
      </c>
      <c r="Q99" s="295"/>
      <c r="R99" s="295"/>
      <c r="S99" s="295"/>
      <c r="T99" s="295"/>
      <c r="U99" s="295"/>
      <c r="V99" s="295"/>
      <c r="W99" s="306"/>
      <c r="X99" s="306"/>
      <c r="Y99" s="306"/>
      <c r="Z99" s="306"/>
      <c r="AA99" s="306"/>
      <c r="AB99" s="155"/>
    </row>
    <row r="100" spans="1:28" ht="30" hidden="1" customHeight="1" x14ac:dyDescent="0.4">
      <c r="A100" s="8" t="s">
        <v>250</v>
      </c>
      <c r="B100" s="298" t="s">
        <v>30</v>
      </c>
      <c r="C100" s="100"/>
      <c r="D100" s="100"/>
      <c r="E100" s="100"/>
      <c r="F100" s="100"/>
      <c r="G100" s="100"/>
      <c r="H100" s="100"/>
      <c r="I100" s="100"/>
      <c r="J100" s="101">
        <v>115.5</v>
      </c>
      <c r="K100" s="295">
        <f t="shared" si="22"/>
        <v>0</v>
      </c>
      <c r="L100" s="295">
        <f t="shared" si="23"/>
        <v>0</v>
      </c>
      <c r="M100" s="295">
        <f t="shared" si="24"/>
        <v>0</v>
      </c>
      <c r="N100" s="295">
        <f t="shared" si="25"/>
        <v>0</v>
      </c>
      <c r="O100" s="295">
        <f t="shared" si="26"/>
        <v>0</v>
      </c>
      <c r="P100" s="295">
        <f t="shared" si="27"/>
        <v>0</v>
      </c>
      <c r="Q100" s="295"/>
      <c r="R100" s="295"/>
      <c r="S100" s="295"/>
      <c r="T100" s="295"/>
      <c r="U100" s="295"/>
      <c r="V100" s="295"/>
      <c r="W100" s="306"/>
      <c r="X100" s="306"/>
      <c r="Y100" s="306"/>
      <c r="Z100" s="306"/>
      <c r="AA100" s="306"/>
      <c r="AB100" s="155"/>
    </row>
    <row r="101" spans="1:28" ht="52.5" hidden="1" x14ac:dyDescent="0.4">
      <c r="A101" s="8" t="s">
        <v>251</v>
      </c>
      <c r="B101" s="101" t="s">
        <v>255</v>
      </c>
      <c r="C101" s="100"/>
      <c r="D101" s="100"/>
      <c r="E101" s="100"/>
      <c r="F101" s="100"/>
      <c r="G101" s="100"/>
      <c r="H101" s="100"/>
      <c r="I101" s="100"/>
      <c r="J101" s="101">
        <v>4.7</v>
      </c>
      <c r="K101" s="295">
        <f t="shared" si="22"/>
        <v>0</v>
      </c>
      <c r="L101" s="295">
        <f t="shared" si="23"/>
        <v>0</v>
      </c>
      <c r="M101" s="295">
        <f t="shared" si="24"/>
        <v>0</v>
      </c>
      <c r="N101" s="295">
        <f t="shared" si="25"/>
        <v>0</v>
      </c>
      <c r="O101" s="295">
        <f t="shared" si="26"/>
        <v>0</v>
      </c>
      <c r="P101" s="295">
        <f t="shared" si="27"/>
        <v>0</v>
      </c>
      <c r="Q101" s="295"/>
      <c r="R101" s="295"/>
      <c r="S101" s="295"/>
      <c r="T101" s="295"/>
      <c r="U101" s="295"/>
      <c r="V101" s="295"/>
      <c r="W101" s="306"/>
      <c r="X101" s="306"/>
      <c r="Y101" s="306"/>
      <c r="Z101" s="306"/>
      <c r="AA101" s="306"/>
      <c r="AB101" s="155"/>
    </row>
    <row r="102" spans="1:28" ht="115.5" customHeight="1" x14ac:dyDescent="0.4">
      <c r="A102" s="8" t="s">
        <v>252</v>
      </c>
      <c r="B102" s="101" t="s">
        <v>254</v>
      </c>
      <c r="C102" s="100">
        <v>3183.1875</v>
      </c>
      <c r="D102" s="100">
        <v>4219.067</v>
      </c>
      <c r="E102" s="100">
        <v>4754.1499999999996</v>
      </c>
      <c r="F102" s="100">
        <f>E102*X77</f>
        <v>4963.3325999999997</v>
      </c>
      <c r="G102" s="100">
        <f t="shared" ref="G102:H102" si="30">F102*Y77</f>
        <v>5161.8659040000002</v>
      </c>
      <c r="H102" s="100">
        <f t="shared" si="30"/>
        <v>5311.5600152159996</v>
      </c>
      <c r="I102" s="100">
        <f>H102*AA77</f>
        <v>5465.5952556572629</v>
      </c>
      <c r="J102" s="101">
        <v>4.7</v>
      </c>
      <c r="K102" s="295">
        <f>C102*J102</f>
        <v>14960.981250000001</v>
      </c>
      <c r="L102" s="295">
        <f>D102*$J$102</f>
        <v>19829.6149</v>
      </c>
      <c r="M102" s="295">
        <f>E102*$J$102</f>
        <v>22344.504999999997</v>
      </c>
      <c r="N102" s="295">
        <f>F102*$J$102</f>
        <v>23327.663219999999</v>
      </c>
      <c r="O102" s="295">
        <f t="shared" ref="O102:Q102" si="31">G102*$J$102</f>
        <v>24260.769748800001</v>
      </c>
      <c r="P102" s="295">
        <f t="shared" si="31"/>
        <v>24964.3320715152</v>
      </c>
      <c r="Q102" s="295">
        <f t="shared" si="31"/>
        <v>25688.297701589137</v>
      </c>
      <c r="R102" s="296">
        <f>M102/L102*100</f>
        <v>112.68249591675126</v>
      </c>
      <c r="S102" s="296">
        <f t="shared" ref="S102:V103" si="32">N102/M102*100</f>
        <v>104.4</v>
      </c>
      <c r="T102" s="296">
        <f t="shared" si="32"/>
        <v>104</v>
      </c>
      <c r="U102" s="296">
        <f t="shared" si="32"/>
        <v>102.89999999999999</v>
      </c>
      <c r="V102" s="296">
        <f t="shared" si="32"/>
        <v>102.89999999999999</v>
      </c>
      <c r="W102" s="155"/>
      <c r="X102" s="306"/>
      <c r="Y102" s="306"/>
      <c r="Z102" s="306"/>
      <c r="AA102" s="306"/>
      <c r="AB102" s="155"/>
    </row>
    <row r="103" spans="1:28" ht="40.5" customHeight="1" x14ac:dyDescent="0.4">
      <c r="A103" s="29" t="s">
        <v>31</v>
      </c>
      <c r="B103" s="299" t="s">
        <v>55</v>
      </c>
      <c r="C103" s="290" t="s">
        <v>55</v>
      </c>
      <c r="D103" s="290" t="s">
        <v>55</v>
      </c>
      <c r="E103" s="290" t="s">
        <v>55</v>
      </c>
      <c r="F103" s="290"/>
      <c r="G103" s="290" t="s">
        <v>55</v>
      </c>
      <c r="H103" s="290"/>
      <c r="I103" s="290"/>
      <c r="J103" s="292" t="s">
        <v>55</v>
      </c>
      <c r="K103" s="293">
        <f>K102+K96</f>
        <v>86967.397249999995</v>
      </c>
      <c r="L103" s="293">
        <f>L102+L96</f>
        <v>87847.030899999998</v>
      </c>
      <c r="M103" s="293">
        <f t="shared" ref="M103:Q103" si="33">M102+M96</f>
        <v>101331.2702</v>
      </c>
      <c r="N103" s="293">
        <f>N102+N96</f>
        <v>105789.8460888</v>
      </c>
      <c r="O103" s="293">
        <f t="shared" si="33"/>
        <v>110021.43993235199</v>
      </c>
      <c r="P103" s="293">
        <f t="shared" si="33"/>
        <v>113212.0616903902</v>
      </c>
      <c r="Q103" s="293">
        <f t="shared" si="33"/>
        <v>116495.2114794115</v>
      </c>
      <c r="R103" s="300">
        <f>M103/L103*100</f>
        <v>115.34968132884273</v>
      </c>
      <c r="S103" s="300">
        <f>N103/M103*100</f>
        <v>104.4</v>
      </c>
      <c r="T103" s="300">
        <f>O103/N103*100</f>
        <v>104</v>
      </c>
      <c r="U103" s="300">
        <f t="shared" si="32"/>
        <v>102.89999999999999</v>
      </c>
      <c r="V103" s="300">
        <f t="shared" si="32"/>
        <v>102.89999999999999</v>
      </c>
      <c r="W103" s="306"/>
      <c r="X103" s="306"/>
      <c r="Y103" s="306"/>
      <c r="Z103" s="306"/>
      <c r="AA103" s="306"/>
      <c r="AB103" s="155"/>
    </row>
    <row r="104" spans="1:28" ht="27" customHeight="1" x14ac:dyDescent="0.25">
      <c r="A104" s="481" t="s">
        <v>256</v>
      </c>
      <c r="B104" s="482"/>
      <c r="C104" s="482"/>
      <c r="D104" s="482"/>
      <c r="E104" s="482"/>
      <c r="F104" s="482"/>
      <c r="G104" s="482"/>
      <c r="H104" s="482"/>
      <c r="I104" s="482"/>
      <c r="J104" s="482"/>
      <c r="K104" s="482"/>
      <c r="L104" s="482"/>
      <c r="M104" s="482"/>
      <c r="N104" s="482"/>
      <c r="O104" s="482"/>
      <c r="P104" s="482"/>
      <c r="Q104" s="482"/>
      <c r="R104" s="482"/>
      <c r="S104" s="482"/>
      <c r="T104" s="482"/>
      <c r="U104" s="482"/>
      <c r="V104" s="482"/>
      <c r="W104" s="306"/>
      <c r="X104" s="306"/>
      <c r="Y104" s="306"/>
      <c r="Z104" s="306"/>
      <c r="AA104" s="306"/>
      <c r="AB104" s="155"/>
    </row>
    <row r="105" spans="1:28" ht="57.75" hidden="1" customHeight="1" x14ac:dyDescent="0.4">
      <c r="A105" s="16" t="s">
        <v>262</v>
      </c>
      <c r="B105" s="9" t="s">
        <v>263</v>
      </c>
      <c r="C105" s="5"/>
      <c r="D105" s="5"/>
      <c r="E105" s="5"/>
      <c r="F105" s="5"/>
      <c r="G105" s="5"/>
      <c r="H105" s="5"/>
      <c r="I105" s="5"/>
      <c r="J105" s="49">
        <v>945.2</v>
      </c>
      <c r="K105" s="7"/>
      <c r="L105" s="7"/>
      <c r="M105" s="7"/>
      <c r="N105" s="7"/>
      <c r="O105" s="7"/>
      <c r="P105" s="7"/>
      <c r="Q105" s="7"/>
      <c r="R105" s="25"/>
      <c r="S105" s="25"/>
      <c r="T105" s="25"/>
      <c r="U105" s="25"/>
      <c r="V105" s="25"/>
      <c r="W105" s="306"/>
      <c r="X105" s="306"/>
      <c r="Y105" s="306"/>
      <c r="Z105" s="306"/>
      <c r="AA105" s="306"/>
      <c r="AB105" s="155"/>
    </row>
    <row r="106" spans="1:28" ht="73.5" customHeight="1" x14ac:dyDescent="0.4">
      <c r="A106" s="8" t="s">
        <v>259</v>
      </c>
      <c r="B106" s="9" t="s">
        <v>48</v>
      </c>
      <c r="C106" s="11">
        <v>176.79</v>
      </c>
      <c r="D106" s="100">
        <v>210</v>
      </c>
      <c r="E106" s="100">
        <v>221.97</v>
      </c>
      <c r="F106" s="100">
        <f>E106*$X$106</f>
        <v>237.06396000000001</v>
      </c>
      <c r="G106" s="100">
        <f>F106*$Y$106</f>
        <v>247.25771028</v>
      </c>
      <c r="H106" s="100">
        <f>G106*$Z$106</f>
        <v>257.88979182203997</v>
      </c>
      <c r="I106" s="100">
        <f>H106*$AA$106</f>
        <v>268.72116307856567</v>
      </c>
      <c r="J106" s="101">
        <v>1700.21</v>
      </c>
      <c r="K106" s="295">
        <f>C106*J106</f>
        <v>300580.12589999998</v>
      </c>
      <c r="L106" s="295">
        <f>D106*$J$106</f>
        <v>357044.10000000003</v>
      </c>
      <c r="M106" s="295">
        <f>E106*$J$106</f>
        <v>377395.61369999999</v>
      </c>
      <c r="N106" s="295">
        <f t="shared" ref="N106:P106" si="34">F106*$J$106</f>
        <v>403058.51543160004</v>
      </c>
      <c r="O106" s="295">
        <f t="shared" si="34"/>
        <v>420390.0315951588</v>
      </c>
      <c r="P106" s="295">
        <f t="shared" si="34"/>
        <v>438466.80295375059</v>
      </c>
      <c r="Q106" s="295">
        <f>I106*$J$106</f>
        <v>456882.40867780813</v>
      </c>
      <c r="R106" s="296">
        <f>M106/L106*100</f>
        <v>105.69999999999999</v>
      </c>
      <c r="S106" s="296">
        <f t="shared" ref="S106:V111" si="35">N106/M106*100</f>
        <v>106.80000000000001</v>
      </c>
      <c r="T106" s="296">
        <f t="shared" si="35"/>
        <v>104.3</v>
      </c>
      <c r="U106" s="296">
        <f t="shared" si="35"/>
        <v>104.3</v>
      </c>
      <c r="V106" s="296">
        <f>Q106/P106*100</f>
        <v>104.2</v>
      </c>
      <c r="W106" s="311" t="s">
        <v>511</v>
      </c>
      <c r="X106" s="312">
        <v>1.0680000000000001</v>
      </c>
      <c r="Y106" s="312">
        <v>1.0429999999999999</v>
      </c>
      <c r="Z106" s="312">
        <v>1.0429999999999999</v>
      </c>
      <c r="AA106" s="312">
        <v>1.042</v>
      </c>
      <c r="AB106" s="155"/>
    </row>
    <row r="107" spans="1:28" ht="54" customHeight="1" x14ac:dyDescent="0.4">
      <c r="A107" s="16" t="s">
        <v>260</v>
      </c>
      <c r="B107" s="9" t="s">
        <v>263</v>
      </c>
      <c r="C107" s="11">
        <v>192.50899999999999</v>
      </c>
      <c r="D107" s="100">
        <v>151.19</v>
      </c>
      <c r="E107" s="100">
        <v>154.19</v>
      </c>
      <c r="F107" s="100">
        <f t="shared" ref="F107:F109" si="36">E107*$X$106</f>
        <v>164.67492000000001</v>
      </c>
      <c r="G107" s="100">
        <f t="shared" ref="G107:G109" si="37">F107*$Y$106</f>
        <v>171.75594156</v>
      </c>
      <c r="H107" s="100">
        <f t="shared" ref="H107:H109" si="38">G107*$Z$106</f>
        <v>179.14144704707999</v>
      </c>
      <c r="I107" s="100">
        <f t="shared" ref="I107:I108" si="39">H107*$AA$106</f>
        <v>186.66538782305736</v>
      </c>
      <c r="J107" s="101">
        <v>501.51</v>
      </c>
      <c r="K107" s="295">
        <f>C107*J107</f>
        <v>96545.188589999991</v>
      </c>
      <c r="L107" s="295">
        <f>D107*J107</f>
        <v>75823.296900000001</v>
      </c>
      <c r="M107" s="295">
        <f>E107*J107</f>
        <v>77327.8269</v>
      </c>
      <c r="N107" s="295">
        <f>F107*J107</f>
        <v>82586.1191292</v>
      </c>
      <c r="O107" s="295">
        <f>G107*J107</f>
        <v>86137.322251755599</v>
      </c>
      <c r="P107" s="295">
        <f>H107*J107</f>
        <v>89841.227108581079</v>
      </c>
      <c r="Q107" s="295">
        <f>I107*J107</f>
        <v>93614.558647141501</v>
      </c>
      <c r="R107" s="296">
        <f>M107/L107*100</f>
        <v>101.98425821813612</v>
      </c>
      <c r="S107" s="296">
        <f t="shared" si="35"/>
        <v>106.80000000000001</v>
      </c>
      <c r="T107" s="296">
        <f t="shared" si="35"/>
        <v>104.3</v>
      </c>
      <c r="U107" s="296">
        <f t="shared" si="35"/>
        <v>104.3</v>
      </c>
      <c r="V107" s="296">
        <f t="shared" si="35"/>
        <v>104.20000000000003</v>
      </c>
      <c r="W107" s="306"/>
      <c r="X107" s="306"/>
      <c r="Y107" s="306"/>
      <c r="Z107" s="306"/>
      <c r="AA107" s="306"/>
      <c r="AB107" s="155"/>
    </row>
    <row r="108" spans="1:28" ht="52.5" hidden="1" customHeight="1" x14ac:dyDescent="0.4">
      <c r="A108" s="8" t="s">
        <v>261</v>
      </c>
      <c r="B108" s="9" t="s">
        <v>263</v>
      </c>
      <c r="C108" s="11"/>
      <c r="D108" s="100"/>
      <c r="E108" s="100"/>
      <c r="F108" s="100">
        <f t="shared" si="36"/>
        <v>0</v>
      </c>
      <c r="G108" s="100">
        <f t="shared" si="37"/>
        <v>0</v>
      </c>
      <c r="H108" s="100">
        <f t="shared" si="38"/>
        <v>0</v>
      </c>
      <c r="I108" s="100">
        <f t="shared" si="39"/>
        <v>0</v>
      </c>
      <c r="J108" s="101">
        <v>444.92</v>
      </c>
      <c r="K108" s="295">
        <f t="shared" ref="K108" si="40">C108*J108</f>
        <v>0</v>
      </c>
      <c r="L108" s="295">
        <f t="shared" ref="L108" si="41">D108*J108</f>
        <v>0</v>
      </c>
      <c r="M108" s="295">
        <f t="shared" ref="M108" si="42">E108*J108</f>
        <v>0</v>
      </c>
      <c r="N108" s="295">
        <f t="shared" ref="N108:N109" si="43">F108*J108</f>
        <v>0</v>
      </c>
      <c r="O108" s="295">
        <f t="shared" ref="O108:O109" si="44">G108*J108</f>
        <v>0</v>
      </c>
      <c r="P108" s="295">
        <f t="shared" ref="P108:P109" si="45">H108*J108</f>
        <v>0</v>
      </c>
      <c r="Q108" s="295">
        <f t="shared" ref="Q108:Q109" si="46">I108*J108</f>
        <v>0</v>
      </c>
      <c r="R108" s="296" t="e">
        <f t="shared" ref="R108" si="47">M108/L108*100</f>
        <v>#DIV/0!</v>
      </c>
      <c r="S108" s="296" t="e">
        <f t="shared" si="35"/>
        <v>#DIV/0!</v>
      </c>
      <c r="T108" s="296" t="e">
        <f t="shared" si="35"/>
        <v>#DIV/0!</v>
      </c>
      <c r="U108" s="296" t="e">
        <f t="shared" si="35"/>
        <v>#DIV/0!</v>
      </c>
      <c r="V108" s="296" t="e">
        <f t="shared" si="35"/>
        <v>#DIV/0!</v>
      </c>
      <c r="W108" s="306"/>
      <c r="X108" s="306"/>
      <c r="Y108" s="306"/>
      <c r="Z108" s="306"/>
      <c r="AA108" s="306"/>
      <c r="AB108" s="155"/>
    </row>
    <row r="109" spans="1:28" ht="57.75" customHeight="1" x14ac:dyDescent="0.4">
      <c r="A109" s="16" t="s">
        <v>262</v>
      </c>
      <c r="B109" s="9" t="s">
        <v>263</v>
      </c>
      <c r="C109" s="11">
        <v>141.523</v>
      </c>
      <c r="D109" s="100">
        <v>113.542</v>
      </c>
      <c r="E109" s="100">
        <v>112.96</v>
      </c>
      <c r="F109" s="100">
        <f t="shared" si="36"/>
        <v>120.64127999999999</v>
      </c>
      <c r="G109" s="100">
        <f t="shared" si="37"/>
        <v>125.82885503999998</v>
      </c>
      <c r="H109" s="100">
        <f t="shared" si="38"/>
        <v>131.23949580671996</v>
      </c>
      <c r="I109" s="100">
        <f>H109*$AA$106</f>
        <v>136.75155463060221</v>
      </c>
      <c r="J109" s="101">
        <v>945.2</v>
      </c>
      <c r="K109" s="295">
        <f>C109*J109</f>
        <v>133767.53959999999</v>
      </c>
      <c r="L109" s="295">
        <f>D109*J109</f>
        <v>107319.89840000001</v>
      </c>
      <c r="M109" s="295">
        <f>E109*J109</f>
        <v>106769.792</v>
      </c>
      <c r="N109" s="295">
        <f t="shared" si="43"/>
        <v>114030.137856</v>
      </c>
      <c r="O109" s="295">
        <f t="shared" si="44"/>
        <v>118933.43378380798</v>
      </c>
      <c r="P109" s="295">
        <f t="shared" si="45"/>
        <v>124047.57143651172</v>
      </c>
      <c r="Q109" s="295">
        <f t="shared" si="46"/>
        <v>129257.56943684522</v>
      </c>
      <c r="R109" s="296">
        <f>M109/L109*100</f>
        <v>99.487414348875305</v>
      </c>
      <c r="S109" s="296">
        <f t="shared" si="35"/>
        <v>106.80000000000001</v>
      </c>
      <c r="T109" s="296">
        <f t="shared" si="35"/>
        <v>104.3</v>
      </c>
      <c r="U109" s="296">
        <f t="shared" si="35"/>
        <v>104.3</v>
      </c>
      <c r="V109" s="296">
        <f t="shared" si="35"/>
        <v>104.2</v>
      </c>
      <c r="W109" s="306"/>
      <c r="X109" s="306"/>
      <c r="Y109" s="306"/>
      <c r="Z109" s="306"/>
      <c r="AA109" s="306"/>
      <c r="AB109" s="155"/>
    </row>
    <row r="110" spans="1:28" ht="26.25" customHeight="1" x14ac:dyDescent="0.4">
      <c r="A110" s="57" t="s">
        <v>31</v>
      </c>
      <c r="B110" s="55"/>
      <c r="C110" s="56"/>
      <c r="D110" s="288"/>
      <c r="E110" s="288"/>
      <c r="F110" s="288"/>
      <c r="G110" s="288"/>
      <c r="H110" s="288"/>
      <c r="I110" s="288"/>
      <c r="J110" s="301"/>
      <c r="K110" s="297">
        <f>SUM(K106:K109)</f>
        <v>530892.85408999992</v>
      </c>
      <c r="L110" s="297">
        <f>SUM(L106:L109)</f>
        <v>540187.29530000011</v>
      </c>
      <c r="M110" s="297">
        <f>SUM(M106:M109)</f>
        <v>561493.23259999999</v>
      </c>
      <c r="N110" s="297">
        <f t="shared" ref="N110:O110" si="48">SUM(N106:N109)</f>
        <v>599674.77241680003</v>
      </c>
      <c r="O110" s="297">
        <f t="shared" si="48"/>
        <v>625460.78763072239</v>
      </c>
      <c r="P110" s="297">
        <f>SUM(P106:P109)</f>
        <v>652355.6014988434</v>
      </c>
      <c r="Q110" s="297">
        <f>SUM(Q106:Q109)</f>
        <v>679754.53676179482</v>
      </c>
      <c r="R110" s="300">
        <f>M110/L110*100</f>
        <v>103.94417593404661</v>
      </c>
      <c r="S110" s="300">
        <f t="shared" si="35"/>
        <v>106.80000000000001</v>
      </c>
      <c r="T110" s="300">
        <f t="shared" si="35"/>
        <v>104.3</v>
      </c>
      <c r="U110" s="300">
        <f t="shared" si="35"/>
        <v>104.3</v>
      </c>
      <c r="V110" s="300">
        <f t="shared" si="35"/>
        <v>104.2</v>
      </c>
      <c r="W110" s="202"/>
      <c r="X110" s="202"/>
      <c r="Y110" s="202"/>
      <c r="Z110" s="202"/>
      <c r="AA110" s="202"/>
    </row>
    <row r="111" spans="1:28" ht="71.25" customHeight="1" x14ac:dyDescent="0.4">
      <c r="A111" s="30" t="s">
        <v>264</v>
      </c>
      <c r="B111" s="12" t="s">
        <v>55</v>
      </c>
      <c r="C111" s="12" t="s">
        <v>55</v>
      </c>
      <c r="D111" s="290" t="s">
        <v>55</v>
      </c>
      <c r="E111" s="290" t="s">
        <v>55</v>
      </c>
      <c r="F111" s="290"/>
      <c r="G111" s="290" t="s">
        <v>55</v>
      </c>
      <c r="H111" s="290"/>
      <c r="I111" s="290"/>
      <c r="J111" s="290" t="s">
        <v>55</v>
      </c>
      <c r="K111" s="293">
        <f>K20+K103+K110</f>
        <v>2365901.1541399998</v>
      </c>
      <c r="L111" s="293">
        <f t="shared" ref="L111:O111" si="49">L20+L103+L110</f>
        <v>2710425.0758000007</v>
      </c>
      <c r="M111" s="293">
        <f t="shared" si="49"/>
        <v>3031260.1893999996</v>
      </c>
      <c r="N111" s="293">
        <f t="shared" si="49"/>
        <v>3211269.5749284001</v>
      </c>
      <c r="O111" s="293">
        <f t="shared" si="49"/>
        <v>3316461.3326785588</v>
      </c>
      <c r="P111" s="293">
        <f>P20+P103+P110</f>
        <v>3418814.1832479518</v>
      </c>
      <c r="Q111" s="293">
        <f>Q20+Q103+Q110</f>
        <v>3521133.9243415096</v>
      </c>
      <c r="R111" s="300">
        <f t="shared" ref="R111" si="50">M111/L111*100</f>
        <v>111.83707738186794</v>
      </c>
      <c r="S111" s="300">
        <f t="shared" si="35"/>
        <v>105.93843399381797</v>
      </c>
      <c r="T111" s="300">
        <f t="shared" si="35"/>
        <v>103.27570623691736</v>
      </c>
      <c r="U111" s="300">
        <f t="shared" si="35"/>
        <v>103.08620666132498</v>
      </c>
      <c r="V111" s="300">
        <f>Q111/P111*100</f>
        <v>102.99284300372101</v>
      </c>
      <c r="W111" s="202"/>
      <c r="X111" s="202"/>
      <c r="Y111" s="202"/>
      <c r="Z111" s="202"/>
      <c r="AA111" s="202"/>
    </row>
    <row r="112" spans="1:28" ht="27" hidden="1" x14ac:dyDescent="0.35">
      <c r="A112" s="483" t="s">
        <v>265</v>
      </c>
      <c r="B112" s="484"/>
      <c r="C112" s="484"/>
      <c r="D112" s="484"/>
      <c r="E112" s="484"/>
      <c r="F112" s="484"/>
      <c r="G112" s="484"/>
      <c r="H112" s="484"/>
      <c r="I112" s="484"/>
      <c r="J112" s="484"/>
      <c r="K112" s="484"/>
      <c r="L112" s="484"/>
      <c r="M112" s="484"/>
      <c r="N112" s="484"/>
      <c r="O112" s="484"/>
      <c r="P112" s="484"/>
      <c r="Q112" s="484"/>
      <c r="R112" s="484"/>
      <c r="S112" s="484"/>
      <c r="T112" s="484"/>
      <c r="U112" s="484"/>
      <c r="V112" s="484"/>
      <c r="W112" s="202"/>
      <c r="X112" s="202"/>
      <c r="Y112" s="202"/>
      <c r="Z112" s="202"/>
      <c r="AA112" s="202"/>
    </row>
    <row r="113" spans="1:27" ht="26.25" hidden="1" x14ac:dyDescent="0.4">
      <c r="A113" s="14" t="s">
        <v>35</v>
      </c>
      <c r="B113" s="40" t="s">
        <v>30</v>
      </c>
      <c r="C113" s="2"/>
      <c r="D113" s="2"/>
      <c r="E113" s="2"/>
      <c r="F113" s="2"/>
      <c r="G113" s="2"/>
      <c r="H113" s="2"/>
      <c r="I113" s="2"/>
      <c r="J113" s="48" t="s">
        <v>52</v>
      </c>
      <c r="K113" s="15"/>
      <c r="L113" s="15"/>
      <c r="M113" s="15"/>
      <c r="N113" s="15"/>
      <c r="O113" s="15"/>
      <c r="P113" s="15"/>
      <c r="Q113" s="15"/>
      <c r="R113" s="26"/>
      <c r="S113" s="26"/>
      <c r="T113" s="26"/>
      <c r="U113" s="26"/>
      <c r="V113" s="26"/>
      <c r="W113" s="202"/>
      <c r="X113" s="202"/>
      <c r="Y113" s="202"/>
      <c r="Z113" s="202"/>
      <c r="AA113" s="202"/>
    </row>
    <row r="114" spans="1:27" ht="26.25" hidden="1" x14ac:dyDescent="0.4">
      <c r="A114" s="35" t="s">
        <v>36</v>
      </c>
      <c r="B114" s="41" t="s">
        <v>30</v>
      </c>
      <c r="C114" s="5"/>
      <c r="D114" s="5"/>
      <c r="E114" s="5"/>
      <c r="F114" s="5"/>
      <c r="G114" s="5"/>
      <c r="H114" s="5"/>
      <c r="I114" s="5"/>
      <c r="J114" s="49" t="s">
        <v>53</v>
      </c>
      <c r="K114" s="17"/>
      <c r="L114" s="17"/>
      <c r="M114" s="17"/>
      <c r="N114" s="17"/>
      <c r="O114" s="17"/>
      <c r="P114" s="17"/>
      <c r="Q114" s="17"/>
      <c r="R114" s="27"/>
      <c r="S114" s="27"/>
      <c r="T114" s="27"/>
      <c r="U114" s="27"/>
      <c r="V114" s="27"/>
      <c r="W114" s="202"/>
      <c r="X114" s="202"/>
      <c r="Y114" s="202"/>
      <c r="Z114" s="202"/>
      <c r="AA114" s="202"/>
    </row>
    <row r="115" spans="1:27" ht="26.25" hidden="1" x14ac:dyDescent="0.4">
      <c r="A115" s="16" t="s">
        <v>37</v>
      </c>
      <c r="B115" s="41" t="s">
        <v>30</v>
      </c>
      <c r="C115" s="5"/>
      <c r="D115" s="5"/>
      <c r="E115" s="5"/>
      <c r="F115" s="5"/>
      <c r="G115" s="5"/>
      <c r="H115" s="5"/>
      <c r="I115" s="5"/>
      <c r="J115" s="49" t="s">
        <v>54</v>
      </c>
      <c r="K115" s="17"/>
      <c r="L115" s="17"/>
      <c r="M115" s="17"/>
      <c r="N115" s="17"/>
      <c r="O115" s="17"/>
      <c r="P115" s="17"/>
      <c r="Q115" s="17"/>
      <c r="R115" s="27"/>
      <c r="S115" s="27"/>
      <c r="T115" s="27"/>
      <c r="U115" s="27"/>
      <c r="V115" s="27"/>
      <c r="W115" s="202"/>
      <c r="X115" s="202"/>
      <c r="Y115" s="202"/>
      <c r="Z115" s="202"/>
      <c r="AA115" s="202"/>
    </row>
    <row r="116" spans="1:27" ht="26.25" hidden="1" x14ac:dyDescent="0.4">
      <c r="A116" s="16" t="s">
        <v>38</v>
      </c>
      <c r="B116" s="41" t="s">
        <v>30</v>
      </c>
      <c r="C116" s="5"/>
      <c r="D116" s="5"/>
      <c r="E116" s="5"/>
      <c r="F116" s="5"/>
      <c r="G116" s="5"/>
      <c r="H116" s="5"/>
      <c r="I116" s="5"/>
      <c r="J116" s="49" t="s">
        <v>49</v>
      </c>
      <c r="K116" s="17"/>
      <c r="L116" s="17"/>
      <c r="M116" s="17"/>
      <c r="N116" s="17"/>
      <c r="O116" s="17"/>
      <c r="P116" s="17"/>
      <c r="Q116" s="17"/>
      <c r="R116" s="27"/>
      <c r="S116" s="27"/>
      <c r="T116" s="27"/>
      <c r="U116" s="27"/>
      <c r="V116" s="27"/>
      <c r="W116" s="202"/>
      <c r="X116" s="202"/>
      <c r="Y116" s="202"/>
      <c r="Z116" s="202"/>
      <c r="AA116" s="202"/>
    </row>
    <row r="117" spans="1:27" ht="26.25" hidden="1" x14ac:dyDescent="0.4">
      <c r="A117" s="16" t="s">
        <v>39</v>
      </c>
      <c r="B117" s="41" t="s">
        <v>30</v>
      </c>
      <c r="C117" s="5"/>
      <c r="D117" s="5"/>
      <c r="E117" s="5"/>
      <c r="F117" s="5"/>
      <c r="G117" s="5"/>
      <c r="H117" s="5"/>
      <c r="I117" s="5"/>
      <c r="J117" s="49" t="s">
        <v>51</v>
      </c>
      <c r="K117" s="17"/>
      <c r="L117" s="17"/>
      <c r="M117" s="17"/>
      <c r="N117" s="17"/>
      <c r="O117" s="17"/>
      <c r="P117" s="17"/>
      <c r="Q117" s="17"/>
      <c r="R117" s="27"/>
      <c r="S117" s="27"/>
      <c r="T117" s="27"/>
      <c r="U117" s="27"/>
      <c r="V117" s="27"/>
      <c r="W117" s="202"/>
      <c r="X117" s="202"/>
      <c r="Y117" s="202"/>
      <c r="Z117" s="202"/>
      <c r="AA117" s="202"/>
    </row>
    <row r="118" spans="1:27" ht="26.25" hidden="1" x14ac:dyDescent="0.4">
      <c r="A118" s="16" t="s">
        <v>40</v>
      </c>
      <c r="B118" s="41" t="s">
        <v>33</v>
      </c>
      <c r="C118" s="5"/>
      <c r="D118" s="5"/>
      <c r="E118" s="5"/>
      <c r="F118" s="5"/>
      <c r="G118" s="5"/>
      <c r="H118" s="5"/>
      <c r="I118" s="5"/>
      <c r="J118" s="49" t="s">
        <v>50</v>
      </c>
      <c r="K118" s="17"/>
      <c r="L118" s="17"/>
      <c r="M118" s="17"/>
      <c r="N118" s="17"/>
      <c r="O118" s="17"/>
      <c r="P118" s="17"/>
      <c r="Q118" s="17"/>
      <c r="R118" s="27"/>
      <c r="S118" s="27"/>
      <c r="T118" s="27"/>
      <c r="U118" s="27"/>
      <c r="V118" s="27"/>
      <c r="W118" s="202"/>
      <c r="X118" s="202"/>
      <c r="Y118" s="202"/>
      <c r="Z118" s="202"/>
      <c r="AA118" s="202"/>
    </row>
    <row r="119" spans="1:27" ht="27.75" hidden="1" x14ac:dyDescent="0.4">
      <c r="A119" s="29" t="s">
        <v>31</v>
      </c>
      <c r="B119" s="42" t="s">
        <v>55</v>
      </c>
      <c r="C119" s="12"/>
      <c r="D119" s="12"/>
      <c r="E119" s="12"/>
      <c r="F119" s="12"/>
      <c r="G119" s="12" t="s">
        <v>55</v>
      </c>
      <c r="H119" s="12"/>
      <c r="I119" s="12"/>
      <c r="J119" s="50" t="s">
        <v>55</v>
      </c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202"/>
      <c r="X119" s="202"/>
      <c r="Y119" s="202"/>
      <c r="Z119" s="202"/>
      <c r="AA119" s="202"/>
    </row>
    <row r="120" spans="1:27" ht="27.75" x14ac:dyDescent="0.4">
      <c r="A120" s="31"/>
      <c r="B120" s="43"/>
      <c r="C120" s="21"/>
      <c r="D120" s="21"/>
      <c r="E120" s="21"/>
      <c r="F120" s="21"/>
      <c r="G120" s="21"/>
      <c r="H120" s="21"/>
      <c r="I120" s="21"/>
      <c r="J120" s="51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</row>
    <row r="121" spans="1:27" ht="26.25" x14ac:dyDescent="0.4">
      <c r="A121" s="473" t="s">
        <v>57</v>
      </c>
      <c r="B121" s="474"/>
      <c r="C121" s="474"/>
      <c r="D121" s="474"/>
      <c r="E121" s="474"/>
      <c r="F121" s="474"/>
      <c r="G121" s="474"/>
      <c r="H121" s="474"/>
      <c r="I121" s="474"/>
      <c r="J121" s="474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</row>
    <row r="122" spans="1:27" ht="26.25" x14ac:dyDescent="0.4">
      <c r="A122" s="32" t="s">
        <v>267</v>
      </c>
      <c r="B122" s="44"/>
      <c r="C122" s="33"/>
      <c r="D122" s="33"/>
      <c r="E122" s="33"/>
      <c r="F122" s="33"/>
      <c r="G122" s="33"/>
      <c r="H122" s="33"/>
      <c r="I122" s="33"/>
      <c r="J122" s="52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</row>
    <row r="123" spans="1:27" ht="57.75" customHeight="1" x14ac:dyDescent="0.2">
      <c r="A123" s="475" t="s">
        <v>58</v>
      </c>
      <c r="B123" s="475"/>
      <c r="C123" s="475"/>
      <c r="D123" s="475"/>
      <c r="E123" s="475"/>
      <c r="F123" s="475"/>
      <c r="G123" s="475"/>
      <c r="H123" s="475"/>
      <c r="I123" s="475"/>
      <c r="J123" s="475"/>
      <c r="K123" s="475"/>
      <c r="L123" s="475"/>
      <c r="M123" s="475"/>
      <c r="N123" s="475"/>
      <c r="O123" s="475"/>
      <c r="P123" s="475"/>
      <c r="Q123" s="475"/>
      <c r="R123" s="475"/>
      <c r="S123" s="475"/>
      <c r="T123" s="475"/>
      <c r="U123" s="475"/>
      <c r="V123" s="72"/>
    </row>
    <row r="124" spans="1:27" ht="20.25" x14ac:dyDescent="0.3">
      <c r="A124" s="23"/>
      <c r="B124" s="45"/>
      <c r="C124" s="18"/>
      <c r="D124" s="18"/>
      <c r="E124" s="18"/>
      <c r="F124" s="18"/>
      <c r="G124" s="18"/>
      <c r="H124" s="18"/>
      <c r="I124" s="18"/>
      <c r="J124" s="53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</row>
    <row r="125" spans="1:27" ht="20.25" x14ac:dyDescent="0.3">
      <c r="A125" s="18"/>
      <c r="B125" s="45"/>
      <c r="C125" s="18"/>
      <c r="D125" s="18"/>
      <c r="E125" s="18"/>
      <c r="F125" s="18"/>
      <c r="G125" s="18"/>
      <c r="H125" s="18"/>
      <c r="I125" s="18"/>
      <c r="J125" s="53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</row>
    <row r="126" spans="1:27" ht="20.25" x14ac:dyDescent="0.3">
      <c r="A126" s="18"/>
      <c r="B126" s="45"/>
      <c r="C126" s="18"/>
      <c r="D126" s="18"/>
      <c r="E126" s="18"/>
      <c r="F126" s="18"/>
      <c r="G126" s="18"/>
      <c r="H126" s="18"/>
      <c r="I126" s="18"/>
      <c r="J126" s="53"/>
      <c r="K126" s="19"/>
      <c r="L126" s="19"/>
      <c r="M126" s="19"/>
      <c r="N126" s="19"/>
      <c r="O126" s="19"/>
      <c r="P126" s="19"/>
      <c r="Q126" s="111"/>
      <c r="R126" s="111"/>
      <c r="S126" s="111"/>
      <c r="T126" s="112"/>
      <c r="U126" s="112"/>
      <c r="V126" s="112"/>
      <c r="X126" s="113"/>
    </row>
    <row r="127" spans="1:27" ht="20.25" x14ac:dyDescent="0.3">
      <c r="A127" s="18"/>
      <c r="B127" s="45"/>
      <c r="C127" s="18"/>
      <c r="D127" s="18"/>
      <c r="E127" s="18"/>
      <c r="F127" s="18"/>
      <c r="G127" s="18"/>
      <c r="H127" s="18"/>
      <c r="I127" s="18"/>
      <c r="J127" s="53"/>
      <c r="K127" s="19"/>
      <c r="L127" s="19"/>
      <c r="M127" s="19"/>
      <c r="N127" s="19"/>
      <c r="O127" s="19"/>
      <c r="P127" s="19"/>
      <c r="Q127" s="114"/>
      <c r="R127" s="114"/>
      <c r="S127" s="114"/>
      <c r="T127" s="114"/>
      <c r="U127" s="114"/>
      <c r="V127" s="115"/>
      <c r="X127" s="113"/>
    </row>
    <row r="128" spans="1:27" ht="20.25" x14ac:dyDescent="0.3">
      <c r="A128" s="18"/>
      <c r="B128" s="45"/>
      <c r="C128" s="18"/>
      <c r="D128" s="18"/>
      <c r="E128" s="18"/>
      <c r="F128" s="18"/>
      <c r="G128" s="18"/>
      <c r="H128" s="18"/>
      <c r="I128" s="18"/>
      <c r="J128" s="53"/>
      <c r="K128" s="19"/>
      <c r="L128" s="19"/>
      <c r="M128" s="19"/>
      <c r="N128" s="19"/>
      <c r="O128" s="19"/>
      <c r="P128" s="19"/>
      <c r="Q128" s="114"/>
      <c r="R128" s="114"/>
      <c r="S128" s="114"/>
      <c r="T128" s="114"/>
      <c r="U128" s="114"/>
      <c r="V128" s="114"/>
      <c r="X128" s="113"/>
    </row>
    <row r="129" spans="1:24" ht="20.25" x14ac:dyDescent="0.3">
      <c r="A129" s="18"/>
      <c r="B129" s="45"/>
      <c r="C129" s="18"/>
      <c r="D129" s="18"/>
      <c r="E129" s="18"/>
      <c r="F129" s="18"/>
      <c r="G129" s="18"/>
      <c r="H129" s="18"/>
      <c r="I129" s="18"/>
      <c r="J129" s="53"/>
      <c r="K129" s="19"/>
      <c r="L129" s="19"/>
      <c r="M129" s="19"/>
      <c r="N129" s="19"/>
      <c r="O129" s="19"/>
      <c r="P129" s="19"/>
      <c r="Q129" s="111"/>
      <c r="R129" s="111"/>
      <c r="S129" s="111"/>
      <c r="T129" s="112"/>
      <c r="U129" s="112"/>
      <c r="V129" s="112"/>
      <c r="X129" s="113"/>
    </row>
    <row r="130" spans="1:24" ht="20.25" x14ac:dyDescent="0.3">
      <c r="A130" s="18"/>
      <c r="B130" s="45"/>
      <c r="C130" s="18"/>
      <c r="D130" s="18"/>
      <c r="E130" s="18"/>
      <c r="F130" s="18"/>
      <c r="G130" s="18"/>
      <c r="H130" s="18"/>
      <c r="I130" s="18"/>
      <c r="J130" s="53"/>
      <c r="K130" s="19"/>
      <c r="L130" s="19"/>
      <c r="M130" s="19"/>
      <c r="N130" s="19"/>
      <c r="O130" s="19"/>
      <c r="P130" s="19"/>
      <c r="Q130" s="114"/>
      <c r="R130" s="114"/>
      <c r="S130" s="114"/>
      <c r="T130" s="115"/>
      <c r="U130" s="115"/>
      <c r="V130" s="115"/>
      <c r="X130" s="113"/>
    </row>
    <row r="131" spans="1:24" ht="20.25" x14ac:dyDescent="0.3">
      <c r="A131" s="18"/>
      <c r="B131" s="45"/>
      <c r="C131" s="18"/>
      <c r="D131" s="18"/>
      <c r="E131" s="18"/>
      <c r="F131" s="18"/>
      <c r="G131" s="18"/>
      <c r="H131" s="18"/>
      <c r="I131" s="18"/>
      <c r="J131" s="53"/>
      <c r="K131" s="19"/>
      <c r="L131" s="19"/>
      <c r="M131" s="19"/>
      <c r="N131" s="19"/>
      <c r="O131" s="19"/>
      <c r="P131" s="19"/>
      <c r="Q131" s="114"/>
      <c r="R131" s="114"/>
      <c r="S131" s="114"/>
      <c r="T131" s="114"/>
      <c r="U131" s="114"/>
      <c r="V131" s="114"/>
      <c r="X131" s="113"/>
    </row>
    <row r="132" spans="1:24" ht="18" x14ac:dyDescent="0.25">
      <c r="A132" s="20"/>
      <c r="B132" s="46"/>
      <c r="C132" s="20"/>
      <c r="D132" s="20"/>
      <c r="E132" s="20"/>
      <c r="F132" s="20"/>
      <c r="G132" s="20"/>
      <c r="H132" s="20"/>
      <c r="I132" s="20"/>
      <c r="J132" s="54"/>
      <c r="Q132" s="111"/>
      <c r="R132" s="111"/>
      <c r="S132" s="111"/>
      <c r="T132" s="112"/>
      <c r="U132" s="112"/>
      <c r="V132" s="112"/>
      <c r="X132" s="113"/>
    </row>
    <row r="133" spans="1:24" ht="18" x14ac:dyDescent="0.25">
      <c r="A133" s="20"/>
      <c r="B133" s="46"/>
      <c r="C133" s="20"/>
      <c r="D133" s="20"/>
      <c r="E133" s="20"/>
      <c r="F133" s="20"/>
      <c r="G133" s="20"/>
      <c r="H133" s="20"/>
      <c r="I133" s="20"/>
      <c r="J133" s="54"/>
      <c r="Q133" s="114"/>
      <c r="R133" s="114"/>
      <c r="S133" s="114"/>
      <c r="T133" s="115"/>
      <c r="U133" s="115"/>
      <c r="V133" s="115"/>
      <c r="X133" s="113"/>
    </row>
    <row r="134" spans="1:24" x14ac:dyDescent="0.2">
      <c r="A134" s="20"/>
      <c r="B134" s="46"/>
      <c r="C134" s="20"/>
      <c r="D134" s="20"/>
      <c r="E134" s="20"/>
      <c r="F134" s="20"/>
      <c r="G134" s="20"/>
      <c r="H134" s="20"/>
      <c r="I134" s="20"/>
      <c r="J134" s="54"/>
    </row>
    <row r="135" spans="1:24" x14ac:dyDescent="0.2">
      <c r="A135" s="20"/>
      <c r="B135" s="46"/>
      <c r="C135" s="20"/>
      <c r="D135" s="20"/>
      <c r="E135" s="20"/>
      <c r="F135" s="20"/>
      <c r="G135" s="20"/>
      <c r="H135" s="20"/>
      <c r="I135" s="20"/>
      <c r="J135" s="54"/>
    </row>
    <row r="136" spans="1:24" x14ac:dyDescent="0.2">
      <c r="A136" s="20"/>
      <c r="B136" s="46"/>
      <c r="C136" s="20"/>
      <c r="D136" s="20"/>
      <c r="E136" s="20"/>
      <c r="F136" s="20"/>
      <c r="G136" s="20"/>
      <c r="H136" s="20"/>
      <c r="I136" s="20"/>
      <c r="J136" s="54"/>
    </row>
    <row r="137" spans="1:24" x14ac:dyDescent="0.2">
      <c r="A137" s="20"/>
      <c r="B137" s="46"/>
      <c r="C137" s="20"/>
      <c r="D137" s="20"/>
      <c r="E137" s="20"/>
      <c r="F137" s="20"/>
      <c r="G137" s="20"/>
      <c r="H137" s="20"/>
      <c r="I137" s="20"/>
      <c r="J137" s="54"/>
    </row>
    <row r="138" spans="1:24" x14ac:dyDescent="0.2">
      <c r="A138" s="20"/>
      <c r="B138" s="46"/>
      <c r="C138" s="20"/>
      <c r="D138" s="20"/>
      <c r="E138" s="20"/>
      <c r="F138" s="20"/>
      <c r="G138" s="20"/>
      <c r="H138" s="20"/>
      <c r="I138" s="20"/>
      <c r="J138" s="54"/>
    </row>
    <row r="145" spans="2:10" x14ac:dyDescent="0.2">
      <c r="B145"/>
      <c r="J145"/>
    </row>
    <row r="146" spans="2:10" x14ac:dyDescent="0.2">
      <c r="B146"/>
      <c r="J146"/>
    </row>
    <row r="147" spans="2:10" x14ac:dyDescent="0.2">
      <c r="B147"/>
      <c r="J147"/>
    </row>
    <row r="148" spans="2:10" x14ac:dyDescent="0.2">
      <c r="B148"/>
      <c r="J148"/>
    </row>
    <row r="149" spans="2:10" x14ac:dyDescent="0.2">
      <c r="B149"/>
      <c r="J149"/>
    </row>
    <row r="150" spans="2:10" x14ac:dyDescent="0.2">
      <c r="B150"/>
      <c r="J150"/>
    </row>
    <row r="151" spans="2:10" x14ac:dyDescent="0.2">
      <c r="B151"/>
      <c r="J151"/>
    </row>
    <row r="152" spans="2:10" x14ac:dyDescent="0.2">
      <c r="B152"/>
      <c r="J152"/>
    </row>
    <row r="153" spans="2:10" x14ac:dyDescent="0.2">
      <c r="B153"/>
      <c r="J153"/>
    </row>
    <row r="154" spans="2:10" x14ac:dyDescent="0.2">
      <c r="B154"/>
      <c r="J154"/>
    </row>
    <row r="155" spans="2:10" x14ac:dyDescent="0.2">
      <c r="B155"/>
      <c r="J155"/>
    </row>
    <row r="156" spans="2:10" x14ac:dyDescent="0.2">
      <c r="B156"/>
      <c r="J156"/>
    </row>
    <row r="157" spans="2:10" x14ac:dyDescent="0.2">
      <c r="B157"/>
      <c r="J157"/>
    </row>
    <row r="158" spans="2:10" x14ac:dyDescent="0.2">
      <c r="B158"/>
      <c r="J158"/>
    </row>
    <row r="159" spans="2:10" x14ac:dyDescent="0.2">
      <c r="B159"/>
      <c r="J159"/>
    </row>
    <row r="160" spans="2:10" x14ac:dyDescent="0.2">
      <c r="B160"/>
      <c r="J160"/>
    </row>
    <row r="161" spans="2:10" x14ac:dyDescent="0.2">
      <c r="B161"/>
      <c r="J161"/>
    </row>
    <row r="162" spans="2:10" x14ac:dyDescent="0.2">
      <c r="B162"/>
      <c r="J162"/>
    </row>
    <row r="163" spans="2:10" x14ac:dyDescent="0.2">
      <c r="B163"/>
      <c r="J163"/>
    </row>
    <row r="164" spans="2:10" x14ac:dyDescent="0.2">
      <c r="B164"/>
      <c r="J164"/>
    </row>
    <row r="165" spans="2:10" x14ac:dyDescent="0.2">
      <c r="B165"/>
      <c r="J165"/>
    </row>
    <row r="166" spans="2:10" x14ac:dyDescent="0.2">
      <c r="B166"/>
      <c r="J166"/>
    </row>
    <row r="167" spans="2:10" x14ac:dyDescent="0.2">
      <c r="B167"/>
      <c r="J167"/>
    </row>
    <row r="168" spans="2:10" x14ac:dyDescent="0.2">
      <c r="B168"/>
      <c r="J168"/>
    </row>
    <row r="169" spans="2:10" x14ac:dyDescent="0.2">
      <c r="B169"/>
      <c r="J169"/>
    </row>
    <row r="170" spans="2:10" x14ac:dyDescent="0.2">
      <c r="B170"/>
      <c r="J170"/>
    </row>
    <row r="171" spans="2:10" x14ac:dyDescent="0.2">
      <c r="B171"/>
      <c r="J171"/>
    </row>
    <row r="172" spans="2:10" x14ac:dyDescent="0.2">
      <c r="B172"/>
      <c r="J172"/>
    </row>
    <row r="173" spans="2:10" x14ac:dyDescent="0.2">
      <c r="B173"/>
      <c r="J173"/>
    </row>
    <row r="174" spans="2:10" x14ac:dyDescent="0.2">
      <c r="B174"/>
      <c r="J174"/>
    </row>
    <row r="175" spans="2:10" x14ac:dyDescent="0.2">
      <c r="B175"/>
      <c r="J175"/>
    </row>
    <row r="176" spans="2:10" x14ac:dyDescent="0.2">
      <c r="B176"/>
      <c r="J176"/>
    </row>
    <row r="177" spans="2:10" x14ac:dyDescent="0.2">
      <c r="B177"/>
      <c r="J177"/>
    </row>
    <row r="178" spans="2:10" x14ac:dyDescent="0.2">
      <c r="B178"/>
      <c r="J178"/>
    </row>
    <row r="179" spans="2:10" x14ac:dyDescent="0.2">
      <c r="B179"/>
      <c r="J179"/>
    </row>
    <row r="180" spans="2:10" x14ac:dyDescent="0.2">
      <c r="B180"/>
      <c r="J180"/>
    </row>
    <row r="181" spans="2:10" x14ac:dyDescent="0.2">
      <c r="B181"/>
      <c r="J181"/>
    </row>
    <row r="182" spans="2:10" x14ac:dyDescent="0.2">
      <c r="B182"/>
      <c r="J182"/>
    </row>
    <row r="183" spans="2:10" x14ac:dyDescent="0.2">
      <c r="B183"/>
      <c r="J183"/>
    </row>
    <row r="184" spans="2:10" x14ac:dyDescent="0.2">
      <c r="B184"/>
      <c r="J184"/>
    </row>
    <row r="185" spans="2:10" x14ac:dyDescent="0.2">
      <c r="B185"/>
      <c r="J185"/>
    </row>
    <row r="186" spans="2:10" x14ac:dyDescent="0.2">
      <c r="B186"/>
      <c r="J186"/>
    </row>
    <row r="187" spans="2:10" x14ac:dyDescent="0.2">
      <c r="B187"/>
      <c r="J187"/>
    </row>
    <row r="188" spans="2:10" x14ac:dyDescent="0.2">
      <c r="B188"/>
      <c r="J188"/>
    </row>
    <row r="189" spans="2:10" x14ac:dyDescent="0.2">
      <c r="B189"/>
      <c r="J189"/>
    </row>
    <row r="190" spans="2:10" x14ac:dyDescent="0.2">
      <c r="B190"/>
      <c r="J190"/>
    </row>
    <row r="191" spans="2:10" x14ac:dyDescent="0.2">
      <c r="B191"/>
      <c r="J191"/>
    </row>
    <row r="192" spans="2:10" x14ac:dyDescent="0.2">
      <c r="B192"/>
      <c r="J192"/>
    </row>
    <row r="193" spans="2:10" x14ac:dyDescent="0.2">
      <c r="B193"/>
      <c r="J193"/>
    </row>
    <row r="194" spans="2:10" x14ac:dyDescent="0.2">
      <c r="B194"/>
      <c r="J194"/>
    </row>
    <row r="195" spans="2:10" x14ac:dyDescent="0.2">
      <c r="B195"/>
      <c r="J195"/>
    </row>
    <row r="196" spans="2:10" x14ac:dyDescent="0.2">
      <c r="B196"/>
      <c r="J196"/>
    </row>
    <row r="197" spans="2:10" x14ac:dyDescent="0.2">
      <c r="B197"/>
      <c r="J197"/>
    </row>
    <row r="198" spans="2:10" x14ac:dyDescent="0.2">
      <c r="B198"/>
      <c r="J198"/>
    </row>
    <row r="199" spans="2:10" x14ac:dyDescent="0.2">
      <c r="B199"/>
      <c r="J199"/>
    </row>
    <row r="200" spans="2:10" x14ac:dyDescent="0.2">
      <c r="B200"/>
      <c r="J200"/>
    </row>
    <row r="201" spans="2:10" x14ac:dyDescent="0.2">
      <c r="B201"/>
      <c r="J201"/>
    </row>
    <row r="202" spans="2:10" x14ac:dyDescent="0.2">
      <c r="B202"/>
      <c r="J202"/>
    </row>
    <row r="203" spans="2:10" x14ac:dyDescent="0.2">
      <c r="B203"/>
      <c r="J203"/>
    </row>
    <row r="204" spans="2:10" x14ac:dyDescent="0.2">
      <c r="B204"/>
      <c r="J204"/>
    </row>
    <row r="205" spans="2:10" x14ac:dyDescent="0.2">
      <c r="B205"/>
      <c r="J205"/>
    </row>
    <row r="206" spans="2:10" x14ac:dyDescent="0.2">
      <c r="B206"/>
      <c r="J206"/>
    </row>
    <row r="207" spans="2:10" x14ac:dyDescent="0.2">
      <c r="B207"/>
      <c r="J207"/>
    </row>
    <row r="208" spans="2:10" x14ac:dyDescent="0.2">
      <c r="B208"/>
      <c r="J208"/>
    </row>
    <row r="209" spans="2:10" x14ac:dyDescent="0.2">
      <c r="B209"/>
      <c r="J209"/>
    </row>
    <row r="210" spans="2:10" x14ac:dyDescent="0.2">
      <c r="B210"/>
      <c r="J210"/>
    </row>
    <row r="211" spans="2:10" x14ac:dyDescent="0.2">
      <c r="B211"/>
      <c r="J211"/>
    </row>
    <row r="212" spans="2:10" x14ac:dyDescent="0.2">
      <c r="B212"/>
      <c r="J212"/>
    </row>
    <row r="213" spans="2:10" x14ac:dyDescent="0.2">
      <c r="B213"/>
      <c r="J213"/>
    </row>
    <row r="214" spans="2:10" x14ac:dyDescent="0.2">
      <c r="B214"/>
      <c r="J214"/>
    </row>
    <row r="215" spans="2:10" x14ac:dyDescent="0.2">
      <c r="B215"/>
      <c r="J215"/>
    </row>
    <row r="216" spans="2:10" x14ac:dyDescent="0.2">
      <c r="B216"/>
      <c r="J216"/>
    </row>
    <row r="217" spans="2:10" x14ac:dyDescent="0.2">
      <c r="B217"/>
      <c r="J217"/>
    </row>
    <row r="218" spans="2:10" x14ac:dyDescent="0.2">
      <c r="B218"/>
      <c r="J218"/>
    </row>
    <row r="219" spans="2:10" x14ac:dyDescent="0.2">
      <c r="B219"/>
      <c r="J219"/>
    </row>
    <row r="220" spans="2:10" x14ac:dyDescent="0.2">
      <c r="B220"/>
      <c r="J220"/>
    </row>
    <row r="221" spans="2:10" x14ac:dyDescent="0.2">
      <c r="B221"/>
      <c r="J221"/>
    </row>
    <row r="222" spans="2:10" x14ac:dyDescent="0.2">
      <c r="B222"/>
      <c r="J222"/>
    </row>
    <row r="223" spans="2:10" x14ac:dyDescent="0.2">
      <c r="B223"/>
      <c r="J223"/>
    </row>
    <row r="224" spans="2:10" x14ac:dyDescent="0.2">
      <c r="B224"/>
      <c r="J224"/>
    </row>
    <row r="225" spans="2:10" x14ac:dyDescent="0.2">
      <c r="B225"/>
      <c r="J225"/>
    </row>
    <row r="226" spans="2:10" x14ac:dyDescent="0.2">
      <c r="B226"/>
      <c r="J226"/>
    </row>
    <row r="227" spans="2:10" x14ac:dyDescent="0.2">
      <c r="B227"/>
      <c r="J227"/>
    </row>
    <row r="228" spans="2:10" x14ac:dyDescent="0.2">
      <c r="B228"/>
      <c r="J228"/>
    </row>
    <row r="229" spans="2:10" x14ac:dyDescent="0.2">
      <c r="B229"/>
      <c r="J229"/>
    </row>
    <row r="230" spans="2:10" x14ac:dyDescent="0.2">
      <c r="B230"/>
      <c r="J230"/>
    </row>
    <row r="231" spans="2:10" x14ac:dyDescent="0.2">
      <c r="B231"/>
      <c r="J231"/>
    </row>
    <row r="232" spans="2:10" x14ac:dyDescent="0.2">
      <c r="B232"/>
      <c r="J232"/>
    </row>
    <row r="233" spans="2:10" x14ac:dyDescent="0.2">
      <c r="B233"/>
      <c r="J233"/>
    </row>
    <row r="234" spans="2:10" x14ac:dyDescent="0.2">
      <c r="B234"/>
      <c r="J234"/>
    </row>
    <row r="235" spans="2:10" x14ac:dyDescent="0.2">
      <c r="B235"/>
      <c r="J235"/>
    </row>
    <row r="236" spans="2:10" x14ac:dyDescent="0.2">
      <c r="B236"/>
      <c r="J236"/>
    </row>
    <row r="237" spans="2:10" x14ac:dyDescent="0.2">
      <c r="B237"/>
      <c r="J237"/>
    </row>
    <row r="238" spans="2:10" x14ac:dyDescent="0.2">
      <c r="B238"/>
      <c r="J238"/>
    </row>
    <row r="239" spans="2:10" x14ac:dyDescent="0.2">
      <c r="B239"/>
      <c r="J239"/>
    </row>
    <row r="240" spans="2:10" x14ac:dyDescent="0.2">
      <c r="B240"/>
      <c r="J240"/>
    </row>
    <row r="241" spans="2:10" x14ac:dyDescent="0.2">
      <c r="B241"/>
      <c r="J241"/>
    </row>
    <row r="242" spans="2:10" x14ac:dyDescent="0.2">
      <c r="B242"/>
      <c r="J242"/>
    </row>
    <row r="243" spans="2:10" x14ac:dyDescent="0.2">
      <c r="B243"/>
      <c r="J243"/>
    </row>
    <row r="244" spans="2:10" x14ac:dyDescent="0.2">
      <c r="B244"/>
      <c r="J244"/>
    </row>
    <row r="245" spans="2:10" x14ac:dyDescent="0.2">
      <c r="B245"/>
      <c r="J245"/>
    </row>
    <row r="246" spans="2:10" x14ac:dyDescent="0.2">
      <c r="B246"/>
      <c r="J246"/>
    </row>
    <row r="247" spans="2:10" x14ac:dyDescent="0.2">
      <c r="B247"/>
      <c r="J247"/>
    </row>
    <row r="248" spans="2:10" x14ac:dyDescent="0.2">
      <c r="B248"/>
      <c r="J248"/>
    </row>
    <row r="249" spans="2:10" x14ac:dyDescent="0.2">
      <c r="B249"/>
      <c r="J249"/>
    </row>
    <row r="250" spans="2:10" x14ac:dyDescent="0.2">
      <c r="B250"/>
      <c r="J250"/>
    </row>
    <row r="251" spans="2:10" x14ac:dyDescent="0.2">
      <c r="B251"/>
      <c r="J251"/>
    </row>
    <row r="252" spans="2:10" x14ac:dyDescent="0.2">
      <c r="B252"/>
      <c r="J252"/>
    </row>
    <row r="253" spans="2:10" x14ac:dyDescent="0.2">
      <c r="B253"/>
      <c r="J253"/>
    </row>
    <row r="254" spans="2:10" x14ac:dyDescent="0.2">
      <c r="B254"/>
      <c r="J254"/>
    </row>
    <row r="255" spans="2:10" x14ac:dyDescent="0.2">
      <c r="B255"/>
      <c r="J255"/>
    </row>
    <row r="256" spans="2:10" x14ac:dyDescent="0.2">
      <c r="B256"/>
      <c r="J256"/>
    </row>
    <row r="257" spans="2:10" x14ac:dyDescent="0.2">
      <c r="B257"/>
      <c r="J257"/>
    </row>
    <row r="258" spans="2:10" x14ac:dyDescent="0.2">
      <c r="B258"/>
      <c r="J258"/>
    </row>
    <row r="259" spans="2:10" x14ac:dyDescent="0.2">
      <c r="B259"/>
      <c r="J259"/>
    </row>
    <row r="260" spans="2:10" x14ac:dyDescent="0.2">
      <c r="B260"/>
      <c r="J260"/>
    </row>
    <row r="261" spans="2:10" x14ac:dyDescent="0.2">
      <c r="B261"/>
      <c r="J261"/>
    </row>
    <row r="262" spans="2:10" x14ac:dyDescent="0.2">
      <c r="B262"/>
      <c r="J262"/>
    </row>
    <row r="263" spans="2:10" x14ac:dyDescent="0.2">
      <c r="B263"/>
      <c r="J263"/>
    </row>
    <row r="264" spans="2:10" x14ac:dyDescent="0.2">
      <c r="B264"/>
      <c r="J264"/>
    </row>
    <row r="265" spans="2:10" x14ac:dyDescent="0.2">
      <c r="B265"/>
      <c r="J265"/>
    </row>
    <row r="266" spans="2:10" x14ac:dyDescent="0.2">
      <c r="B266"/>
      <c r="J266"/>
    </row>
    <row r="267" spans="2:10" x14ac:dyDescent="0.2">
      <c r="B267"/>
      <c r="J267"/>
    </row>
    <row r="268" spans="2:10" x14ac:dyDescent="0.2">
      <c r="B268"/>
      <c r="J268"/>
    </row>
    <row r="269" spans="2:10" x14ac:dyDescent="0.2">
      <c r="B269"/>
      <c r="J269"/>
    </row>
    <row r="270" spans="2:10" x14ac:dyDescent="0.2">
      <c r="B270"/>
      <c r="J270"/>
    </row>
    <row r="271" spans="2:10" x14ac:dyDescent="0.2">
      <c r="B271"/>
      <c r="J271"/>
    </row>
    <row r="272" spans="2:10" x14ac:dyDescent="0.2">
      <c r="B272"/>
      <c r="J272"/>
    </row>
    <row r="273" spans="2:10" x14ac:dyDescent="0.2">
      <c r="B273"/>
      <c r="J273"/>
    </row>
    <row r="274" spans="2:10" x14ac:dyDescent="0.2">
      <c r="B274"/>
      <c r="J274"/>
    </row>
    <row r="275" spans="2:10" x14ac:dyDescent="0.2">
      <c r="B275"/>
      <c r="J275"/>
    </row>
    <row r="276" spans="2:10" x14ac:dyDescent="0.2">
      <c r="B276"/>
      <c r="J276"/>
    </row>
    <row r="277" spans="2:10" x14ac:dyDescent="0.2">
      <c r="B277"/>
      <c r="J277"/>
    </row>
    <row r="278" spans="2:10" x14ac:dyDescent="0.2">
      <c r="B278"/>
      <c r="J278"/>
    </row>
    <row r="279" spans="2:10" x14ac:dyDescent="0.2">
      <c r="B279"/>
      <c r="J279"/>
    </row>
    <row r="280" spans="2:10" x14ac:dyDescent="0.2">
      <c r="B280"/>
      <c r="J280"/>
    </row>
    <row r="281" spans="2:10" x14ac:dyDescent="0.2">
      <c r="B281"/>
      <c r="J281"/>
    </row>
    <row r="282" spans="2:10" x14ac:dyDescent="0.2">
      <c r="B282"/>
      <c r="J282"/>
    </row>
    <row r="283" spans="2:10" x14ac:dyDescent="0.2">
      <c r="B283"/>
      <c r="J283"/>
    </row>
    <row r="284" spans="2:10" x14ac:dyDescent="0.2">
      <c r="B284"/>
      <c r="J284"/>
    </row>
    <row r="285" spans="2:10" x14ac:dyDescent="0.2">
      <c r="B285"/>
      <c r="J285"/>
    </row>
    <row r="286" spans="2:10" x14ac:dyDescent="0.2">
      <c r="B286"/>
      <c r="J286"/>
    </row>
    <row r="287" spans="2:10" x14ac:dyDescent="0.2">
      <c r="B287"/>
      <c r="J287"/>
    </row>
    <row r="288" spans="2:10" x14ac:dyDescent="0.2">
      <c r="B288"/>
      <c r="J288"/>
    </row>
    <row r="289" spans="2:10" x14ac:dyDescent="0.2">
      <c r="B289"/>
      <c r="J289"/>
    </row>
    <row r="290" spans="2:10" x14ac:dyDescent="0.2">
      <c r="B290"/>
      <c r="J290"/>
    </row>
    <row r="291" spans="2:10" x14ac:dyDescent="0.2">
      <c r="B291"/>
      <c r="J291"/>
    </row>
    <row r="292" spans="2:10" x14ac:dyDescent="0.2">
      <c r="B292"/>
      <c r="J292"/>
    </row>
    <row r="293" spans="2:10" x14ac:dyDescent="0.2">
      <c r="B293"/>
      <c r="J293"/>
    </row>
    <row r="294" spans="2:10" x14ac:dyDescent="0.2">
      <c r="B294"/>
      <c r="J294"/>
    </row>
    <row r="295" spans="2:10" x14ac:dyDescent="0.2">
      <c r="B295"/>
      <c r="J295"/>
    </row>
    <row r="296" spans="2:10" x14ac:dyDescent="0.2">
      <c r="B296"/>
      <c r="J296"/>
    </row>
    <row r="297" spans="2:10" x14ac:dyDescent="0.2">
      <c r="B297"/>
      <c r="J297"/>
    </row>
    <row r="298" spans="2:10" x14ac:dyDescent="0.2">
      <c r="B298"/>
      <c r="J298"/>
    </row>
    <row r="299" spans="2:10" x14ac:dyDescent="0.2">
      <c r="B299"/>
      <c r="J299"/>
    </row>
    <row r="300" spans="2:10" x14ac:dyDescent="0.2">
      <c r="B300"/>
      <c r="J300"/>
    </row>
    <row r="301" spans="2:10" x14ac:dyDescent="0.2">
      <c r="B301"/>
      <c r="J301"/>
    </row>
    <row r="302" spans="2:10" x14ac:dyDescent="0.2">
      <c r="B302"/>
      <c r="J302"/>
    </row>
    <row r="303" spans="2:10" x14ac:dyDescent="0.2">
      <c r="B303"/>
      <c r="J303"/>
    </row>
    <row r="304" spans="2:10" x14ac:dyDescent="0.2">
      <c r="B304"/>
      <c r="J304"/>
    </row>
    <row r="305" spans="2:10" x14ac:dyDescent="0.2">
      <c r="B305"/>
      <c r="J305"/>
    </row>
    <row r="306" spans="2:10" x14ac:dyDescent="0.2">
      <c r="B306"/>
      <c r="J306"/>
    </row>
    <row r="307" spans="2:10" x14ac:dyDescent="0.2">
      <c r="B307"/>
      <c r="J307"/>
    </row>
    <row r="308" spans="2:10" x14ac:dyDescent="0.2">
      <c r="B308"/>
      <c r="J308"/>
    </row>
    <row r="309" spans="2:10" x14ac:dyDescent="0.2">
      <c r="B309"/>
      <c r="J309"/>
    </row>
    <row r="310" spans="2:10" x14ac:dyDescent="0.2">
      <c r="B310"/>
      <c r="J310"/>
    </row>
    <row r="311" spans="2:10" x14ac:dyDescent="0.2">
      <c r="B311"/>
      <c r="J311"/>
    </row>
    <row r="312" spans="2:10" x14ac:dyDescent="0.2">
      <c r="B312"/>
      <c r="J312"/>
    </row>
    <row r="313" spans="2:10" x14ac:dyDescent="0.2">
      <c r="B313"/>
      <c r="J313"/>
    </row>
    <row r="314" spans="2:10" x14ac:dyDescent="0.2">
      <c r="B314"/>
      <c r="J314"/>
    </row>
    <row r="315" spans="2:10" x14ac:dyDescent="0.2">
      <c r="B315"/>
      <c r="J315"/>
    </row>
    <row r="316" spans="2:10" x14ac:dyDescent="0.2">
      <c r="B316"/>
      <c r="J316"/>
    </row>
    <row r="317" spans="2:10" x14ac:dyDescent="0.2">
      <c r="B317"/>
      <c r="J317"/>
    </row>
    <row r="318" spans="2:10" x14ac:dyDescent="0.2">
      <c r="B318"/>
      <c r="J318"/>
    </row>
    <row r="319" spans="2:10" x14ac:dyDescent="0.2">
      <c r="B319"/>
      <c r="J319"/>
    </row>
    <row r="320" spans="2:10" x14ac:dyDescent="0.2">
      <c r="B320"/>
      <c r="J320"/>
    </row>
    <row r="321" spans="2:10" x14ac:dyDescent="0.2">
      <c r="B321"/>
      <c r="J321"/>
    </row>
    <row r="322" spans="2:10" x14ac:dyDescent="0.2">
      <c r="B322"/>
      <c r="J322"/>
    </row>
    <row r="323" spans="2:10" x14ac:dyDescent="0.2">
      <c r="B323"/>
      <c r="J323"/>
    </row>
    <row r="324" spans="2:10" x14ac:dyDescent="0.2">
      <c r="B324"/>
      <c r="J324"/>
    </row>
    <row r="325" spans="2:10" x14ac:dyDescent="0.2">
      <c r="B325"/>
      <c r="J325"/>
    </row>
    <row r="326" spans="2:10" x14ac:dyDescent="0.2">
      <c r="B326"/>
      <c r="J326"/>
    </row>
    <row r="327" spans="2:10" x14ac:dyDescent="0.2">
      <c r="B327"/>
      <c r="J327"/>
    </row>
    <row r="328" spans="2:10" x14ac:dyDescent="0.2">
      <c r="B328"/>
      <c r="J328"/>
    </row>
    <row r="329" spans="2:10" x14ac:dyDescent="0.2">
      <c r="B329"/>
      <c r="J329"/>
    </row>
    <row r="330" spans="2:10" x14ac:dyDescent="0.2">
      <c r="B330"/>
      <c r="J330"/>
    </row>
    <row r="331" spans="2:10" x14ac:dyDescent="0.2">
      <c r="B331"/>
      <c r="J331"/>
    </row>
    <row r="332" spans="2:10" x14ac:dyDescent="0.2">
      <c r="B332"/>
      <c r="J332"/>
    </row>
    <row r="333" spans="2:10" x14ac:dyDescent="0.2">
      <c r="B333"/>
      <c r="J333"/>
    </row>
    <row r="334" spans="2:10" x14ac:dyDescent="0.2">
      <c r="B334"/>
      <c r="J334"/>
    </row>
    <row r="335" spans="2:10" x14ac:dyDescent="0.2">
      <c r="B335"/>
      <c r="J335"/>
    </row>
    <row r="336" spans="2:10" x14ac:dyDescent="0.2">
      <c r="B336"/>
      <c r="J336"/>
    </row>
    <row r="337" spans="2:10" x14ac:dyDescent="0.2">
      <c r="B337"/>
      <c r="J337"/>
    </row>
  </sheetData>
  <mergeCells count="15">
    <mergeCell ref="A121:J121"/>
    <mergeCell ref="A123:U123"/>
    <mergeCell ref="A5:A6"/>
    <mergeCell ref="A8:V8"/>
    <mergeCell ref="A9:V9"/>
    <mergeCell ref="A21:V21"/>
    <mergeCell ref="A104:V104"/>
    <mergeCell ref="A112:V112"/>
    <mergeCell ref="O1:V1"/>
    <mergeCell ref="A2:U2"/>
    <mergeCell ref="A3:U3"/>
    <mergeCell ref="B5:I5"/>
    <mergeCell ref="J5:J6"/>
    <mergeCell ref="K5:Q5"/>
    <mergeCell ref="R5:V5"/>
  </mergeCells>
  <phoneticPr fontId="14" type="noConversion"/>
  <printOptions horizontalCentered="1"/>
  <pageMargins left="0.19685039370078741" right="0.19685039370078741" top="0.39370078740157483" bottom="0.39370078740157483" header="0" footer="0"/>
  <pageSetup paperSize="9" scale="30" fitToWidth="0" fitToHeight="0" orientation="landscape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>
    <tabColor indexed="50"/>
  </sheetPr>
  <dimension ref="A1:BC39"/>
  <sheetViews>
    <sheetView view="pageBreakPreview" topLeftCell="A4" zoomScale="78" zoomScaleNormal="75" zoomScaleSheetLayoutView="78" workbookViewId="0">
      <pane xSplit="1" topLeftCell="B1" activePane="topRight" state="frozen"/>
      <selection pane="topRight" activeCell="J14" sqref="J14"/>
    </sheetView>
  </sheetViews>
  <sheetFormatPr defaultRowHeight="12.75" x14ac:dyDescent="0.2"/>
  <cols>
    <col min="1" max="1" width="27.85546875" customWidth="1"/>
    <col min="2" max="2" width="9.42578125" customWidth="1"/>
    <col min="3" max="3" width="10.85546875" bestFit="1" customWidth="1"/>
    <col min="4" max="4" width="10.42578125" customWidth="1"/>
    <col min="5" max="7" width="10.85546875" bestFit="1" customWidth="1"/>
    <col min="8" max="8" width="12.5703125" customWidth="1"/>
    <col min="9" max="9" width="12.140625" bestFit="1" customWidth="1"/>
    <col min="10" max="10" width="10.5703125" customWidth="1"/>
    <col min="11" max="11" width="14.28515625" customWidth="1"/>
    <col min="12" max="12" width="16.85546875" bestFit="1" customWidth="1"/>
    <col min="13" max="13" width="11" bestFit="1" customWidth="1"/>
    <col min="14" max="14" width="9.5703125" bestFit="1" customWidth="1"/>
    <col min="15" max="15" width="11.140625" customWidth="1"/>
    <col min="16" max="16" width="14.140625" customWidth="1"/>
    <col min="17" max="18" width="11" bestFit="1" customWidth="1"/>
    <col min="19" max="19" width="12.28515625" customWidth="1"/>
    <col min="20" max="21" width="10.28515625" customWidth="1"/>
    <col min="22" max="22" width="11.7109375" customWidth="1"/>
    <col min="23" max="27" width="10.28515625" customWidth="1"/>
    <col min="28" max="28" width="12.28515625" customWidth="1"/>
    <col min="29" max="31" width="10.28515625" customWidth="1"/>
    <col min="32" max="33" width="11.140625" customWidth="1"/>
    <col min="34" max="34" width="28.5703125" customWidth="1"/>
    <col min="35" max="35" width="20.28515625" customWidth="1"/>
    <col min="36" max="36" width="17.42578125" customWidth="1"/>
    <col min="37" max="37" width="12.140625" customWidth="1"/>
    <col min="38" max="38" width="12.42578125" customWidth="1"/>
    <col min="39" max="39" width="12" customWidth="1"/>
    <col min="40" max="40" width="11.5703125" customWidth="1"/>
    <col min="41" max="41" width="12.140625" customWidth="1"/>
    <col min="42" max="42" width="12.85546875" customWidth="1"/>
    <col min="43" max="43" width="10" customWidth="1"/>
    <col min="44" max="44" width="9.85546875" customWidth="1"/>
    <col min="45" max="46" width="10.42578125" customWidth="1"/>
    <col min="47" max="47" width="10" customWidth="1"/>
    <col min="48" max="49" width="11.140625" customWidth="1"/>
    <col min="50" max="50" width="18.7109375" customWidth="1"/>
    <col min="51" max="51" width="16.140625" customWidth="1"/>
    <col min="52" max="52" width="16.42578125" customWidth="1"/>
    <col min="53" max="53" width="19.28515625" customWidth="1"/>
    <col min="54" max="54" width="16.7109375" customWidth="1"/>
    <col min="55" max="55" width="15.85546875" customWidth="1"/>
  </cols>
  <sheetData>
    <row r="1" spans="1:55" ht="29.45" customHeight="1" x14ac:dyDescent="0.3">
      <c r="A1" s="36"/>
      <c r="B1" s="36"/>
      <c r="C1" s="36"/>
      <c r="D1" s="36"/>
      <c r="E1" s="494"/>
      <c r="F1" s="494"/>
      <c r="G1" s="494"/>
      <c r="S1" s="502" t="s">
        <v>492</v>
      </c>
      <c r="T1" s="502"/>
      <c r="U1" s="502"/>
      <c r="V1" s="502"/>
      <c r="W1" s="502"/>
      <c r="X1" s="502"/>
      <c r="Y1" s="502"/>
      <c r="Z1" s="502"/>
      <c r="AA1" s="502"/>
      <c r="AB1" s="502"/>
      <c r="AC1" s="502"/>
      <c r="AD1" s="502"/>
      <c r="AE1" s="502"/>
      <c r="AF1" s="502"/>
      <c r="AG1" s="502"/>
      <c r="AH1" s="502"/>
      <c r="AI1" s="502"/>
      <c r="AY1" s="502"/>
      <c r="AZ1" s="502"/>
      <c r="BA1" s="502"/>
      <c r="BB1" s="502"/>
      <c r="BC1" s="502"/>
    </row>
    <row r="2" spans="1:55" ht="42.75" customHeight="1" x14ac:dyDescent="0.2">
      <c r="A2" s="497" t="s">
        <v>491</v>
      </c>
      <c r="B2" s="497"/>
      <c r="C2" s="497"/>
      <c r="D2" s="497"/>
      <c r="E2" s="497"/>
      <c r="F2" s="497"/>
      <c r="G2" s="497"/>
      <c r="H2" s="497"/>
      <c r="I2" s="497"/>
      <c r="J2" s="497"/>
      <c r="K2" s="497"/>
      <c r="L2" s="497"/>
      <c r="M2" s="497"/>
      <c r="N2" s="497"/>
      <c r="O2" s="497"/>
      <c r="P2" s="497"/>
      <c r="Q2" s="497"/>
      <c r="R2" s="497"/>
      <c r="S2" s="497"/>
      <c r="T2" s="497"/>
      <c r="U2" s="497"/>
      <c r="V2" s="497"/>
      <c r="W2" s="497"/>
      <c r="X2" s="497"/>
      <c r="Y2" s="497"/>
      <c r="Z2" s="497"/>
      <c r="AA2" s="497"/>
      <c r="AB2" s="497"/>
      <c r="AC2" s="497"/>
      <c r="AD2" s="497"/>
      <c r="AE2" s="497"/>
      <c r="AF2" s="497"/>
      <c r="AG2" s="497"/>
      <c r="AH2" s="497"/>
      <c r="AI2" s="497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2"/>
      <c r="AY2" s="62"/>
      <c r="AZ2" s="62"/>
      <c r="BA2" s="62"/>
      <c r="BB2" s="62"/>
      <c r="BC2" s="62"/>
    </row>
    <row r="3" spans="1:55" ht="18.75" x14ac:dyDescent="0.3">
      <c r="A3" s="36"/>
      <c r="B3" s="36"/>
      <c r="C3" s="36"/>
      <c r="D3" s="36"/>
      <c r="E3" s="36"/>
      <c r="F3" s="36"/>
      <c r="G3" s="36"/>
      <c r="AW3" s="62"/>
      <c r="AX3" s="61"/>
      <c r="AY3" s="61"/>
      <c r="AZ3" s="61"/>
      <c r="BA3" s="61"/>
      <c r="BB3" s="61"/>
      <c r="BC3" s="61"/>
    </row>
    <row r="4" spans="1:55" ht="58.15" customHeight="1" x14ac:dyDescent="0.2">
      <c r="A4" s="485" t="s">
        <v>94</v>
      </c>
      <c r="B4" s="486" t="s">
        <v>97</v>
      </c>
      <c r="C4" s="495"/>
      <c r="D4" s="495"/>
      <c r="E4" s="495"/>
      <c r="F4" s="495"/>
      <c r="G4" s="487"/>
      <c r="H4" s="486" t="s">
        <v>95</v>
      </c>
      <c r="I4" s="495"/>
      <c r="J4" s="495"/>
      <c r="K4" s="495"/>
      <c r="L4" s="495"/>
      <c r="M4" s="487"/>
      <c r="N4" s="486" t="s">
        <v>96</v>
      </c>
      <c r="O4" s="495"/>
      <c r="P4" s="495"/>
      <c r="Q4" s="495"/>
      <c r="R4" s="495"/>
      <c r="S4" s="487"/>
      <c r="T4" s="486" t="s">
        <v>493</v>
      </c>
      <c r="U4" s="495"/>
      <c r="V4" s="495"/>
      <c r="W4" s="495"/>
      <c r="X4" s="495"/>
      <c r="Y4" s="487"/>
      <c r="Z4" s="486" t="s">
        <v>494</v>
      </c>
      <c r="AA4" s="495"/>
      <c r="AB4" s="495"/>
      <c r="AC4" s="495"/>
      <c r="AD4" s="495"/>
      <c r="AE4" s="487"/>
      <c r="AF4" s="486" t="s">
        <v>110</v>
      </c>
      <c r="AG4" s="487"/>
      <c r="AH4" s="486" t="s">
        <v>133</v>
      </c>
      <c r="AI4" s="487"/>
      <c r="AJ4" s="490" t="s">
        <v>119</v>
      </c>
      <c r="AK4" s="492" t="s">
        <v>120</v>
      </c>
      <c r="AL4" s="500"/>
      <c r="AM4" s="500"/>
      <c r="AN4" s="500"/>
      <c r="AO4" s="500"/>
      <c r="AP4" s="500"/>
      <c r="AQ4" s="493"/>
      <c r="AR4" s="485" t="s">
        <v>111</v>
      </c>
      <c r="AS4" s="485"/>
      <c r="AT4" s="485"/>
      <c r="AU4" s="485"/>
      <c r="AV4" s="485"/>
      <c r="AW4" s="485"/>
      <c r="AX4" s="485" t="s">
        <v>121</v>
      </c>
      <c r="AY4" s="492" t="s">
        <v>120</v>
      </c>
      <c r="AZ4" s="500"/>
      <c r="BA4" s="500"/>
      <c r="BB4" s="500"/>
      <c r="BC4" s="493"/>
    </row>
    <row r="5" spans="1:55" ht="118.5" customHeight="1" x14ac:dyDescent="0.2">
      <c r="A5" s="485"/>
      <c r="B5" s="488"/>
      <c r="C5" s="496"/>
      <c r="D5" s="496"/>
      <c r="E5" s="496"/>
      <c r="F5" s="496"/>
      <c r="G5" s="489"/>
      <c r="H5" s="488"/>
      <c r="I5" s="496"/>
      <c r="J5" s="496"/>
      <c r="K5" s="496"/>
      <c r="L5" s="496"/>
      <c r="M5" s="489"/>
      <c r="N5" s="488"/>
      <c r="O5" s="496"/>
      <c r="P5" s="496"/>
      <c r="Q5" s="496"/>
      <c r="R5" s="496"/>
      <c r="S5" s="489"/>
      <c r="T5" s="488"/>
      <c r="U5" s="496"/>
      <c r="V5" s="496"/>
      <c r="W5" s="496"/>
      <c r="X5" s="496"/>
      <c r="Y5" s="489"/>
      <c r="Z5" s="488"/>
      <c r="AA5" s="496"/>
      <c r="AB5" s="496"/>
      <c r="AC5" s="496"/>
      <c r="AD5" s="496"/>
      <c r="AE5" s="489"/>
      <c r="AF5" s="488"/>
      <c r="AG5" s="489"/>
      <c r="AH5" s="488"/>
      <c r="AI5" s="489"/>
      <c r="AJ5" s="501"/>
      <c r="AK5" s="485" t="s">
        <v>130</v>
      </c>
      <c r="AL5" s="485" t="s">
        <v>129</v>
      </c>
      <c r="AM5" s="485" t="s">
        <v>131</v>
      </c>
      <c r="AN5" s="485" t="s">
        <v>132</v>
      </c>
      <c r="AO5" s="485" t="s">
        <v>16</v>
      </c>
      <c r="AP5" s="485" t="s">
        <v>170</v>
      </c>
      <c r="AQ5" s="485" t="s">
        <v>47</v>
      </c>
      <c r="AR5" s="492" t="s">
        <v>100</v>
      </c>
      <c r="AS5" s="493"/>
      <c r="AT5" s="492" t="s">
        <v>101</v>
      </c>
      <c r="AU5" s="493"/>
      <c r="AV5" s="492" t="s">
        <v>102</v>
      </c>
      <c r="AW5" s="493"/>
      <c r="AX5" s="485"/>
      <c r="AY5" s="485" t="s">
        <v>122</v>
      </c>
      <c r="AZ5" s="485" t="s">
        <v>123</v>
      </c>
      <c r="BA5" s="485" t="s">
        <v>124</v>
      </c>
      <c r="BB5" s="485" t="s">
        <v>125</v>
      </c>
      <c r="BC5" s="485" t="s">
        <v>126</v>
      </c>
    </row>
    <row r="6" spans="1:55" ht="39.75" customHeight="1" x14ac:dyDescent="0.2">
      <c r="A6" s="485"/>
      <c r="B6" s="485" t="s">
        <v>399</v>
      </c>
      <c r="C6" s="485" t="s">
        <v>488</v>
      </c>
      <c r="D6" s="485" t="s">
        <v>489</v>
      </c>
      <c r="E6" s="485" t="s">
        <v>59</v>
      </c>
      <c r="F6" s="485"/>
      <c r="G6" s="485"/>
      <c r="H6" s="485" t="s">
        <v>399</v>
      </c>
      <c r="I6" s="485" t="s">
        <v>488</v>
      </c>
      <c r="J6" s="485" t="s">
        <v>489</v>
      </c>
      <c r="K6" s="485" t="s">
        <v>59</v>
      </c>
      <c r="L6" s="485"/>
      <c r="M6" s="485"/>
      <c r="N6" s="485" t="s">
        <v>399</v>
      </c>
      <c r="O6" s="485" t="s">
        <v>488</v>
      </c>
      <c r="P6" s="485" t="s">
        <v>489</v>
      </c>
      <c r="Q6" s="485" t="s">
        <v>59</v>
      </c>
      <c r="R6" s="485"/>
      <c r="S6" s="485"/>
      <c r="T6" s="485" t="s">
        <v>399</v>
      </c>
      <c r="U6" s="485" t="s">
        <v>488</v>
      </c>
      <c r="V6" s="485" t="s">
        <v>489</v>
      </c>
      <c r="W6" s="485" t="s">
        <v>59</v>
      </c>
      <c r="X6" s="485"/>
      <c r="Y6" s="485"/>
      <c r="Z6" s="485" t="s">
        <v>399</v>
      </c>
      <c r="AA6" s="485" t="s">
        <v>488</v>
      </c>
      <c r="AB6" s="485" t="s">
        <v>489</v>
      </c>
      <c r="AC6" s="485" t="s">
        <v>59</v>
      </c>
      <c r="AD6" s="485"/>
      <c r="AE6" s="485"/>
      <c r="AF6" s="490" t="str">
        <f>C6</f>
        <v>Факт 
2022 г.</v>
      </c>
      <c r="AG6" s="490" t="str">
        <f>D6</f>
        <v>Оценка 2023 г.</v>
      </c>
      <c r="AH6" s="490" t="s">
        <v>127</v>
      </c>
      <c r="AI6" s="490" t="s">
        <v>128</v>
      </c>
      <c r="AJ6" s="501"/>
      <c r="AK6" s="485"/>
      <c r="AL6" s="485"/>
      <c r="AM6" s="485"/>
      <c r="AN6" s="485"/>
      <c r="AO6" s="485"/>
      <c r="AP6" s="485"/>
      <c r="AQ6" s="485"/>
      <c r="AR6" s="490" t="s">
        <v>488</v>
      </c>
      <c r="AS6" s="490" t="s">
        <v>489</v>
      </c>
      <c r="AT6" s="490" t="s">
        <v>488</v>
      </c>
      <c r="AU6" s="490" t="s">
        <v>489</v>
      </c>
      <c r="AV6" s="490" t="s">
        <v>488</v>
      </c>
      <c r="AW6" s="490" t="s">
        <v>489</v>
      </c>
      <c r="AX6" s="485"/>
      <c r="AY6" s="485"/>
      <c r="AZ6" s="485"/>
      <c r="BA6" s="485"/>
      <c r="BB6" s="485"/>
      <c r="BC6" s="485"/>
    </row>
    <row r="7" spans="1:55" ht="36" customHeight="1" x14ac:dyDescent="0.2">
      <c r="A7" s="485"/>
      <c r="B7" s="485"/>
      <c r="C7" s="485"/>
      <c r="D7" s="485"/>
      <c r="E7" s="69" t="s">
        <v>275</v>
      </c>
      <c r="F7" s="69" t="s">
        <v>400</v>
      </c>
      <c r="G7" s="69" t="s">
        <v>490</v>
      </c>
      <c r="H7" s="485"/>
      <c r="I7" s="485"/>
      <c r="J7" s="485"/>
      <c r="K7" s="193" t="s">
        <v>275</v>
      </c>
      <c r="L7" s="193" t="s">
        <v>400</v>
      </c>
      <c r="M7" s="193" t="s">
        <v>490</v>
      </c>
      <c r="N7" s="485"/>
      <c r="O7" s="485"/>
      <c r="P7" s="485"/>
      <c r="Q7" s="193" t="s">
        <v>275</v>
      </c>
      <c r="R7" s="193" t="s">
        <v>400</v>
      </c>
      <c r="S7" s="193" t="s">
        <v>490</v>
      </c>
      <c r="T7" s="485"/>
      <c r="U7" s="485"/>
      <c r="V7" s="485"/>
      <c r="W7" s="195" t="s">
        <v>275</v>
      </c>
      <c r="X7" s="195" t="s">
        <v>400</v>
      </c>
      <c r="Y7" s="195" t="s">
        <v>490</v>
      </c>
      <c r="Z7" s="485"/>
      <c r="AA7" s="485"/>
      <c r="AB7" s="485"/>
      <c r="AC7" s="195" t="s">
        <v>275</v>
      </c>
      <c r="AD7" s="195" t="s">
        <v>400</v>
      </c>
      <c r="AE7" s="195" t="s">
        <v>490</v>
      </c>
      <c r="AF7" s="491"/>
      <c r="AG7" s="491"/>
      <c r="AH7" s="491"/>
      <c r="AI7" s="491"/>
      <c r="AJ7" s="491"/>
      <c r="AK7" s="485"/>
      <c r="AL7" s="485"/>
      <c r="AM7" s="485"/>
      <c r="AN7" s="485"/>
      <c r="AO7" s="485"/>
      <c r="AP7" s="485"/>
      <c r="AQ7" s="485"/>
      <c r="AR7" s="491"/>
      <c r="AS7" s="491"/>
      <c r="AT7" s="491"/>
      <c r="AU7" s="491"/>
      <c r="AV7" s="491"/>
      <c r="AW7" s="491"/>
      <c r="AX7" s="485"/>
      <c r="AY7" s="485"/>
      <c r="AZ7" s="485"/>
      <c r="BA7" s="485"/>
      <c r="BB7" s="485"/>
      <c r="BC7" s="485"/>
    </row>
    <row r="8" spans="1:55" s="79" customFormat="1" ht="31.5" x14ac:dyDescent="0.3">
      <c r="A8" s="118" t="s">
        <v>369</v>
      </c>
      <c r="B8" s="233">
        <v>5246.95</v>
      </c>
      <c r="C8" s="233">
        <v>5351.02</v>
      </c>
      <c r="D8" s="233">
        <f>[3]Диагностика!$AL$28</f>
        <v>4070.7984043820766</v>
      </c>
      <c r="E8" s="233">
        <v>4233.2923344419023</v>
      </c>
      <c r="F8" s="233">
        <v>4385.482097873075</v>
      </c>
      <c r="G8" s="233">
        <v>4543.0966921275831</v>
      </c>
      <c r="H8" s="234">
        <v>830.29166252366633</v>
      </c>
      <c r="I8" s="234">
        <f>P20</f>
        <v>874.49905952719052</v>
      </c>
      <c r="J8" s="234">
        <f>Q20</f>
        <v>921.72214457888208</v>
      </c>
      <c r="K8" s="234">
        <f t="shared" ref="K8:M8" si="0">R20</f>
        <v>947.50332728467095</v>
      </c>
      <c r="L8" s="234">
        <f t="shared" si="0"/>
        <v>974.03222410605667</v>
      </c>
      <c r="M8" s="234">
        <f t="shared" si="0"/>
        <v>998.37779570989881</v>
      </c>
      <c r="N8" s="235">
        <v>3415.7912684455996</v>
      </c>
      <c r="O8" s="235">
        <f t="shared" ref="O8:O15" si="1">G20</f>
        <v>3442.362260111629</v>
      </c>
      <c r="P8" s="235">
        <f>I20</f>
        <v>3442.362260111629</v>
      </c>
      <c r="Q8" s="235">
        <f>P8</f>
        <v>3442.362260111629</v>
      </c>
      <c r="R8" s="235">
        <f t="shared" ref="R8:S8" si="2">Q8</f>
        <v>3442.362260111629</v>
      </c>
      <c r="S8" s="235">
        <f t="shared" si="2"/>
        <v>3442.362260111629</v>
      </c>
      <c r="T8" s="235">
        <v>557019.80000000005</v>
      </c>
      <c r="U8" s="235">
        <v>412991.2</v>
      </c>
      <c r="V8" s="235">
        <v>1321831.5</v>
      </c>
      <c r="W8" s="235">
        <v>527469.5</v>
      </c>
      <c r="X8" s="235">
        <v>261996.5</v>
      </c>
      <c r="Y8" s="235">
        <v>261996.5</v>
      </c>
      <c r="Z8" s="236">
        <v>567813.80000000005</v>
      </c>
      <c r="AA8" s="235">
        <v>411438.5</v>
      </c>
      <c r="AB8" s="235">
        <v>1331182.3</v>
      </c>
      <c r="AC8" s="235">
        <v>533576</v>
      </c>
      <c r="AD8" s="235">
        <v>268220.09999999998</v>
      </c>
      <c r="AE8" s="235">
        <v>268220.09999999998</v>
      </c>
      <c r="AF8" s="237">
        <v>25</v>
      </c>
      <c r="AG8" s="237">
        <v>25</v>
      </c>
      <c r="AH8" s="119"/>
      <c r="AI8" s="119"/>
      <c r="AJ8" s="237">
        <f>AT8+AX8+AV8</f>
        <v>138</v>
      </c>
      <c r="AK8" s="238">
        <v>11</v>
      </c>
      <c r="AL8" s="238">
        <v>11</v>
      </c>
      <c r="AM8" s="238">
        <v>0</v>
      </c>
      <c r="AN8" s="239">
        <v>7</v>
      </c>
      <c r="AO8" s="239">
        <v>32</v>
      </c>
      <c r="AP8" s="239">
        <v>24</v>
      </c>
      <c r="AQ8" s="239">
        <v>103</v>
      </c>
      <c r="AR8" s="237">
        <f>[4]Лист1!$D$300</f>
        <v>228</v>
      </c>
      <c r="AS8" s="240">
        <f t="shared" ref="AS8:AS14" si="3">AR8*93%</f>
        <v>212.04000000000002</v>
      </c>
      <c r="AT8" s="237">
        <v>5</v>
      </c>
      <c r="AU8" s="237">
        <v>5</v>
      </c>
      <c r="AV8" s="237">
        <v>112</v>
      </c>
      <c r="AW8" s="240">
        <f>AV8*94%</f>
        <v>105.28</v>
      </c>
      <c r="AX8" s="241">
        <f>AY8+AZ8+BA8+BB8+BC8+2+2+1</f>
        <v>21</v>
      </c>
      <c r="AY8" s="241">
        <v>8</v>
      </c>
      <c r="AZ8" s="241">
        <v>3</v>
      </c>
      <c r="BA8" s="241">
        <v>3</v>
      </c>
      <c r="BB8" s="241"/>
      <c r="BC8" s="241">
        <v>2</v>
      </c>
    </row>
    <row r="9" spans="1:55" s="79" customFormat="1" ht="31.5" x14ac:dyDescent="0.3">
      <c r="A9" s="118" t="s">
        <v>370</v>
      </c>
      <c r="B9" s="233">
        <v>7559.8</v>
      </c>
      <c r="C9" s="233">
        <v>5234.6000000000004</v>
      </c>
      <c r="D9" s="233">
        <f>[3]Диагностика!$AL$29</f>
        <v>6772.1723634200453</v>
      </c>
      <c r="E9" s="233">
        <v>7042.4969516359779</v>
      </c>
      <c r="F9" s="233">
        <v>7295.67954814937</v>
      </c>
      <c r="G9" s="233">
        <v>7557.8868827432489</v>
      </c>
      <c r="H9" s="234">
        <v>3695.3012683752422</v>
      </c>
      <c r="I9" s="234">
        <f t="shared" ref="I9:I15" si="4">P21</f>
        <v>3892.0509860854745</v>
      </c>
      <c r="J9" s="234">
        <f t="shared" ref="J9:J14" si="5">Q21</f>
        <v>4102.2223438920864</v>
      </c>
      <c r="K9" s="234">
        <f t="shared" ref="K9:K15" si="6">R21</f>
        <v>4216.9642369557178</v>
      </c>
      <c r="L9" s="234">
        <f t="shared" ref="L9:L15" si="7">S21</f>
        <v>4335.0339111406838</v>
      </c>
      <c r="M9" s="234">
        <f t="shared" ref="M9:M15" si="8">T21</f>
        <v>4443.3864644513505</v>
      </c>
      <c r="N9" s="235">
        <v>8760.1783775518015</v>
      </c>
      <c r="O9" s="235">
        <f t="shared" si="1"/>
        <v>8828.3226546372061</v>
      </c>
      <c r="P9" s="235">
        <f t="shared" ref="P9:P15" si="9">I21</f>
        <v>8830.3226546372061</v>
      </c>
      <c r="Q9" s="235">
        <f t="shared" ref="Q9:S15" si="10">P9</f>
        <v>8830.3226546372061</v>
      </c>
      <c r="R9" s="235">
        <f t="shared" si="10"/>
        <v>8830.3226546372061</v>
      </c>
      <c r="S9" s="235">
        <f t="shared" si="10"/>
        <v>8830.3226546372061</v>
      </c>
      <c r="T9" s="242">
        <v>231028</v>
      </c>
      <c r="U9" s="242">
        <v>258250</v>
      </c>
      <c r="V9" s="242">
        <v>415586</v>
      </c>
      <c r="W9" s="242">
        <v>166631</v>
      </c>
      <c r="X9" s="242">
        <v>169444</v>
      </c>
      <c r="Y9" s="242">
        <v>106636</v>
      </c>
      <c r="Z9" s="243">
        <v>227583</v>
      </c>
      <c r="AA9" s="242">
        <v>267572</v>
      </c>
      <c r="AB9" s="242">
        <v>454685</v>
      </c>
      <c r="AC9" s="242">
        <v>174091</v>
      </c>
      <c r="AD9" s="242">
        <v>177084</v>
      </c>
      <c r="AE9" s="242">
        <v>114396</v>
      </c>
      <c r="AF9" s="237">
        <v>44</v>
      </c>
      <c r="AG9" s="237">
        <v>42</v>
      </c>
      <c r="AH9" s="119"/>
      <c r="AI9" s="119"/>
      <c r="AJ9" s="237">
        <f t="shared" ref="AJ9:AJ15" si="11">AT9+AX9+AV9</f>
        <v>134</v>
      </c>
      <c r="AK9" s="238">
        <v>20</v>
      </c>
      <c r="AL9" s="239">
        <v>15</v>
      </c>
      <c r="AM9" s="239">
        <v>1</v>
      </c>
      <c r="AN9" s="239">
        <v>15</v>
      </c>
      <c r="AO9" s="239">
        <v>28</v>
      </c>
      <c r="AP9" s="239">
        <v>12</v>
      </c>
      <c r="AQ9" s="239">
        <v>111</v>
      </c>
      <c r="AR9" s="237">
        <f>[4]Лист1!$D$299+[4]Лист1!$D$305</f>
        <v>343</v>
      </c>
      <c r="AS9" s="240">
        <f t="shared" si="3"/>
        <v>318.99</v>
      </c>
      <c r="AT9" s="237">
        <v>7</v>
      </c>
      <c r="AU9" s="237">
        <v>7</v>
      </c>
      <c r="AV9" s="237">
        <v>99</v>
      </c>
      <c r="AW9" s="240">
        <f>AV9*94%</f>
        <v>93.059999999999988</v>
      </c>
      <c r="AX9" s="241">
        <f>AY9+AZ9+BA9+BB9+BC9+3+6+1+1</f>
        <v>28</v>
      </c>
      <c r="AY9" s="241">
        <v>5</v>
      </c>
      <c r="AZ9" s="241">
        <v>5</v>
      </c>
      <c r="BA9" s="241">
        <v>3</v>
      </c>
      <c r="BB9" s="241"/>
      <c r="BC9" s="241">
        <v>4</v>
      </c>
    </row>
    <row r="10" spans="1:55" s="79" customFormat="1" ht="31.5" x14ac:dyDescent="0.3">
      <c r="A10" s="118" t="s">
        <v>371</v>
      </c>
      <c r="B10" s="233">
        <v>1212.98</v>
      </c>
      <c r="C10" s="233">
        <v>1060.5</v>
      </c>
      <c r="D10" s="233">
        <f>[3]Диагностика!$AL$30</f>
        <v>843.2108161041474</v>
      </c>
      <c r="E10" s="233">
        <v>876.86923535434209</v>
      </c>
      <c r="F10" s="233">
        <v>908.3932858912973</v>
      </c>
      <c r="G10" s="233">
        <v>941.04101674139349</v>
      </c>
      <c r="H10" s="234">
        <v>453.5187809019983</v>
      </c>
      <c r="I10" s="234">
        <f t="shared" si="4"/>
        <v>477.66557858866963</v>
      </c>
      <c r="J10" s="234">
        <f t="shared" si="5"/>
        <v>503.45959402895369</v>
      </c>
      <c r="K10" s="234">
        <f t="shared" si="6"/>
        <v>517.54169442654472</v>
      </c>
      <c r="L10" s="234">
        <f t="shared" si="7"/>
        <v>532.03220840875258</v>
      </c>
      <c r="M10" s="234">
        <f t="shared" si="8"/>
        <v>545.33015472387899</v>
      </c>
      <c r="N10" s="235">
        <v>777.51265387262026</v>
      </c>
      <c r="O10" s="235">
        <f t="shared" si="1"/>
        <v>783.5608226928664</v>
      </c>
      <c r="P10" s="235">
        <f t="shared" si="9"/>
        <v>783.5608226928664</v>
      </c>
      <c r="Q10" s="235">
        <f t="shared" si="10"/>
        <v>783.5608226928664</v>
      </c>
      <c r="R10" s="235">
        <f t="shared" si="10"/>
        <v>783.5608226928664</v>
      </c>
      <c r="S10" s="235">
        <f t="shared" si="10"/>
        <v>783.5608226928664</v>
      </c>
      <c r="T10" s="235">
        <v>96637.5</v>
      </c>
      <c r="U10" s="235">
        <v>52555.7</v>
      </c>
      <c r="V10" s="235">
        <v>80148.100000000006</v>
      </c>
      <c r="W10" s="235">
        <v>43572</v>
      </c>
      <c r="X10" s="235">
        <v>31394.9</v>
      </c>
      <c r="Y10" s="235">
        <v>31018.400000000001</v>
      </c>
      <c r="Z10" s="235">
        <v>94294</v>
      </c>
      <c r="AA10" s="235">
        <v>51316.4</v>
      </c>
      <c r="AB10" s="235">
        <v>86253</v>
      </c>
      <c r="AC10" s="235">
        <v>50107</v>
      </c>
      <c r="AD10" s="235">
        <v>38000</v>
      </c>
      <c r="AE10" s="235">
        <v>37678</v>
      </c>
      <c r="AF10" s="237">
        <v>4</v>
      </c>
      <c r="AG10" s="237">
        <v>4</v>
      </c>
      <c r="AH10" s="119"/>
      <c r="AI10" s="119"/>
      <c r="AJ10" s="237">
        <f>AT10+AX10+AV10</f>
        <v>28</v>
      </c>
      <c r="AK10" s="238">
        <v>2</v>
      </c>
      <c r="AL10" s="239">
        <v>0</v>
      </c>
      <c r="AM10" s="239">
        <v>0</v>
      </c>
      <c r="AN10" s="239">
        <v>2</v>
      </c>
      <c r="AO10" s="239">
        <v>11</v>
      </c>
      <c r="AP10" s="239">
        <v>1</v>
      </c>
      <c r="AQ10" s="239">
        <v>15</v>
      </c>
      <c r="AR10" s="237">
        <f>[4]Лист1!$D$298</f>
        <v>54</v>
      </c>
      <c r="AS10" s="240">
        <f t="shared" si="3"/>
        <v>50.220000000000006</v>
      </c>
      <c r="AT10" s="237">
        <v>0</v>
      </c>
      <c r="AU10" s="237">
        <v>0</v>
      </c>
      <c r="AV10" s="237">
        <v>20</v>
      </c>
      <c r="AW10" s="240">
        <f t="shared" ref="AW10:AW15" si="12">AV10*94%</f>
        <v>18.799999999999997</v>
      </c>
      <c r="AX10" s="241">
        <f t="shared" ref="AX10:AX15" si="13">SUM(AY10:BC10)+2</f>
        <v>8</v>
      </c>
      <c r="AY10" s="241">
        <v>3</v>
      </c>
      <c r="AZ10" s="241">
        <v>1</v>
      </c>
      <c r="BA10" s="241"/>
      <c r="BB10" s="241"/>
      <c r="BC10" s="241">
        <v>2</v>
      </c>
    </row>
    <row r="11" spans="1:55" s="79" customFormat="1" ht="31.5" x14ac:dyDescent="0.3">
      <c r="A11" s="118" t="s">
        <v>372</v>
      </c>
      <c r="B11" s="233">
        <v>260.52699999999999</v>
      </c>
      <c r="C11" s="233">
        <v>378.9</v>
      </c>
      <c r="D11" s="233">
        <f>[3]Диагностика!$AL$31</f>
        <v>381.46313381519678</v>
      </c>
      <c r="E11" s="233">
        <v>396.68998556001497</v>
      </c>
      <c r="F11" s="233">
        <v>410.9512626673644</v>
      </c>
      <c r="G11" s="233">
        <v>425.72088549973398</v>
      </c>
      <c r="H11" s="234">
        <v>48.026893358428218</v>
      </c>
      <c r="I11" s="234">
        <f t="shared" si="4"/>
        <v>50.583999538548916</v>
      </c>
      <c r="J11" s="234">
        <f t="shared" si="5"/>
        <v>53.315543370917503</v>
      </c>
      <c r="K11" s="234">
        <f t="shared" si="6"/>
        <v>54.806814653470916</v>
      </c>
      <c r="L11" s="234">
        <f t="shared" si="7"/>
        <v>56.341336263244543</v>
      </c>
      <c r="M11" s="234">
        <f t="shared" si="8"/>
        <v>57.749566917535113</v>
      </c>
      <c r="N11" s="235">
        <v>130.59782858016669</v>
      </c>
      <c r="O11" s="235">
        <f t="shared" si="1"/>
        <v>131.6137319366924</v>
      </c>
      <c r="P11" s="235">
        <f t="shared" si="9"/>
        <v>131.6137319366924</v>
      </c>
      <c r="Q11" s="235">
        <f t="shared" si="10"/>
        <v>131.6137319366924</v>
      </c>
      <c r="R11" s="235">
        <f t="shared" si="10"/>
        <v>131.6137319366924</v>
      </c>
      <c r="S11" s="235">
        <f t="shared" si="10"/>
        <v>131.6137319366924</v>
      </c>
      <c r="T11" s="235">
        <v>11691</v>
      </c>
      <c r="U11" s="235">
        <v>12626</v>
      </c>
      <c r="V11" s="235">
        <v>15668</v>
      </c>
      <c r="W11" s="235">
        <v>11519</v>
      </c>
      <c r="X11" s="235">
        <v>10947</v>
      </c>
      <c r="Y11" s="235">
        <v>10947</v>
      </c>
      <c r="Z11" s="235">
        <v>11733</v>
      </c>
      <c r="AA11" s="235">
        <v>12636</v>
      </c>
      <c r="AB11" s="235">
        <v>15782</v>
      </c>
      <c r="AC11" s="235">
        <v>11519</v>
      </c>
      <c r="AD11" s="235">
        <v>10947</v>
      </c>
      <c r="AE11" s="235">
        <v>10947</v>
      </c>
      <c r="AF11" s="237">
        <v>0</v>
      </c>
      <c r="AG11" s="237">
        <v>0</v>
      </c>
      <c r="AH11" s="119"/>
      <c r="AI11" s="119"/>
      <c r="AJ11" s="237">
        <f t="shared" si="11"/>
        <v>5</v>
      </c>
      <c r="AK11" s="238">
        <v>1</v>
      </c>
      <c r="AL11" s="239">
        <v>0</v>
      </c>
      <c r="AM11" s="239">
        <v>0</v>
      </c>
      <c r="AN11" s="239">
        <v>0</v>
      </c>
      <c r="AO11" s="239">
        <v>1</v>
      </c>
      <c r="AP11" s="239">
        <v>0</v>
      </c>
      <c r="AQ11" s="239">
        <v>6</v>
      </c>
      <c r="AR11" s="237">
        <f>[4]Лист1!$D$304</f>
        <v>6</v>
      </c>
      <c r="AS11" s="240">
        <f t="shared" si="3"/>
        <v>5.58</v>
      </c>
      <c r="AT11" s="237">
        <v>0</v>
      </c>
      <c r="AU11" s="237">
        <v>0</v>
      </c>
      <c r="AV11" s="237">
        <v>1</v>
      </c>
      <c r="AW11" s="240">
        <f t="shared" si="12"/>
        <v>0.94</v>
      </c>
      <c r="AX11" s="241">
        <f t="shared" si="13"/>
        <v>4</v>
      </c>
      <c r="AY11" s="241">
        <v>1</v>
      </c>
      <c r="AZ11" s="241"/>
      <c r="BA11" s="241"/>
      <c r="BB11" s="241"/>
      <c r="BC11" s="241">
        <v>1</v>
      </c>
    </row>
    <row r="12" spans="1:55" s="79" customFormat="1" ht="31.5" x14ac:dyDescent="0.3">
      <c r="A12" s="118" t="s">
        <v>373</v>
      </c>
      <c r="B12" s="233">
        <v>86.360500000000002</v>
      </c>
      <c r="C12" s="233">
        <v>81.599999999999994</v>
      </c>
      <c r="D12" s="233">
        <f>[3]Диагностика!$AL$32</f>
        <v>49.336490534915171</v>
      </c>
      <c r="E12" s="233">
        <v>51.305853653891496</v>
      </c>
      <c r="F12" s="233">
        <v>53.150334288194202</v>
      </c>
      <c r="G12" s="233">
        <v>55.060561758370866</v>
      </c>
      <c r="H12" s="234">
        <v>94.780594955236424</v>
      </c>
      <c r="I12" s="234">
        <f t="shared" si="4"/>
        <v>99.827018493539668</v>
      </c>
      <c r="J12" s="234">
        <f t="shared" si="5"/>
        <v>105.21769299846821</v>
      </c>
      <c r="K12" s="234">
        <f t="shared" si="6"/>
        <v>108.16070199855517</v>
      </c>
      <c r="L12" s="234">
        <f t="shared" si="7"/>
        <v>111.18906508797178</v>
      </c>
      <c r="M12" s="234">
        <f t="shared" si="8"/>
        <v>113.96819423654576</v>
      </c>
      <c r="N12" s="235">
        <v>37.458291918342383</v>
      </c>
      <c r="O12" s="235">
        <f t="shared" si="1"/>
        <v>37.749675051609451</v>
      </c>
      <c r="P12" s="235">
        <f t="shared" si="9"/>
        <v>37.749675051609451</v>
      </c>
      <c r="Q12" s="235">
        <f t="shared" si="10"/>
        <v>37.749675051609451</v>
      </c>
      <c r="R12" s="235">
        <f t="shared" si="10"/>
        <v>37.749675051609451</v>
      </c>
      <c r="S12" s="235">
        <f t="shared" si="10"/>
        <v>37.749675051609451</v>
      </c>
      <c r="T12" s="235">
        <v>16181</v>
      </c>
      <c r="U12" s="235">
        <v>31667.599999999999</v>
      </c>
      <c r="V12" s="235">
        <v>16510</v>
      </c>
      <c r="W12" s="235">
        <v>13734.8</v>
      </c>
      <c r="X12" s="235">
        <v>13927.4</v>
      </c>
      <c r="Y12" s="235">
        <v>13927.4</v>
      </c>
      <c r="Z12" s="236">
        <v>18597.400000000001</v>
      </c>
      <c r="AA12" s="235">
        <v>24599.3</v>
      </c>
      <c r="AB12" s="235">
        <v>21322</v>
      </c>
      <c r="AC12" s="235">
        <v>13734.8</v>
      </c>
      <c r="AD12" s="235">
        <v>13927.4</v>
      </c>
      <c r="AE12" s="235">
        <v>13927.4</v>
      </c>
      <c r="AF12" s="237">
        <v>3</v>
      </c>
      <c r="AG12" s="237">
        <v>3</v>
      </c>
      <c r="AH12" s="119"/>
      <c r="AI12" s="119"/>
      <c r="AJ12" s="237">
        <f t="shared" si="11"/>
        <v>18</v>
      </c>
      <c r="AK12" s="238">
        <v>1</v>
      </c>
      <c r="AL12" s="239">
        <v>5</v>
      </c>
      <c r="AM12" s="239">
        <v>0</v>
      </c>
      <c r="AN12" s="239">
        <v>0</v>
      </c>
      <c r="AO12" s="239">
        <v>3</v>
      </c>
      <c r="AP12" s="239">
        <v>2</v>
      </c>
      <c r="AQ12" s="239">
        <v>9</v>
      </c>
      <c r="AR12" s="237">
        <f>[4]Лист1!$D$302</f>
        <v>41</v>
      </c>
      <c r="AS12" s="240">
        <f t="shared" si="3"/>
        <v>38.130000000000003</v>
      </c>
      <c r="AT12" s="237">
        <v>0</v>
      </c>
      <c r="AU12" s="237">
        <v>0</v>
      </c>
      <c r="AV12" s="237">
        <v>14</v>
      </c>
      <c r="AW12" s="240">
        <f t="shared" si="12"/>
        <v>13.16</v>
      </c>
      <c r="AX12" s="241">
        <f t="shared" si="13"/>
        <v>4</v>
      </c>
      <c r="AY12" s="241"/>
      <c r="AZ12" s="241">
        <v>1</v>
      </c>
      <c r="BA12" s="241"/>
      <c r="BB12" s="241"/>
      <c r="BC12" s="241">
        <v>1</v>
      </c>
    </row>
    <row r="13" spans="1:55" s="79" customFormat="1" ht="31.5" x14ac:dyDescent="0.3">
      <c r="A13" s="118" t="s">
        <v>374</v>
      </c>
      <c r="B13" s="233">
        <v>40.397300000000001</v>
      </c>
      <c r="C13" s="233">
        <v>35.9</v>
      </c>
      <c r="D13" s="233">
        <f>[3]Диагностика!$AL$33</f>
        <v>24.188696418310698</v>
      </c>
      <c r="E13" s="233">
        <v>25.154235841683825</v>
      </c>
      <c r="F13" s="233">
        <v>26.058547875816593</v>
      </c>
      <c r="G13" s="233">
        <v>26.99509427109215</v>
      </c>
      <c r="H13" s="234">
        <v>22.996205838744526</v>
      </c>
      <c r="I13" s="234">
        <f t="shared" si="4"/>
        <v>24.220597756637794</v>
      </c>
      <c r="J13" s="234">
        <f t="shared" si="5"/>
        <v>25.528513797717256</v>
      </c>
      <c r="K13" s="234">
        <f>R25</f>
        <v>26.242563343230671</v>
      </c>
      <c r="L13" s="234">
        <f t="shared" si="7"/>
        <v>26.977321982291453</v>
      </c>
      <c r="M13" s="234">
        <f t="shared" si="8"/>
        <v>27.651610068193904</v>
      </c>
      <c r="N13" s="235">
        <v>80.990901445064608</v>
      </c>
      <c r="O13" s="235">
        <f t="shared" si="1"/>
        <v>81.620919030506926</v>
      </c>
      <c r="P13" s="235">
        <f t="shared" si="9"/>
        <v>82.620919030506926</v>
      </c>
      <c r="Q13" s="235">
        <f t="shared" si="10"/>
        <v>82.620919030506926</v>
      </c>
      <c r="R13" s="235">
        <f t="shared" si="10"/>
        <v>82.620919030506926</v>
      </c>
      <c r="S13" s="235">
        <f t="shared" si="10"/>
        <v>82.620919030506926</v>
      </c>
      <c r="T13" s="235">
        <v>9907</v>
      </c>
      <c r="U13" s="235">
        <v>12443</v>
      </c>
      <c r="V13" s="235">
        <v>13771</v>
      </c>
      <c r="W13" s="235">
        <v>9584</v>
      </c>
      <c r="X13" s="235">
        <v>9776</v>
      </c>
      <c r="Y13" s="235">
        <v>9776</v>
      </c>
      <c r="Z13" s="235">
        <v>9868</v>
      </c>
      <c r="AA13" s="235">
        <v>12274</v>
      </c>
      <c r="AB13" s="235">
        <v>14401</v>
      </c>
      <c r="AC13" s="235">
        <v>9689</v>
      </c>
      <c r="AD13" s="235">
        <v>9886</v>
      </c>
      <c r="AE13" s="235">
        <v>9886</v>
      </c>
      <c r="AF13" s="237">
        <v>3</v>
      </c>
      <c r="AG13" s="237">
        <v>2</v>
      </c>
      <c r="AH13" s="119"/>
      <c r="AI13" s="119"/>
      <c r="AJ13" s="237">
        <f t="shared" si="11"/>
        <v>6</v>
      </c>
      <c r="AK13" s="238">
        <v>0</v>
      </c>
      <c r="AL13" s="239">
        <v>0</v>
      </c>
      <c r="AM13" s="239">
        <v>0</v>
      </c>
      <c r="AN13" s="239">
        <v>1</v>
      </c>
      <c r="AO13" s="239">
        <v>0</v>
      </c>
      <c r="AP13" s="239">
        <v>0</v>
      </c>
      <c r="AQ13" s="239">
        <v>4</v>
      </c>
      <c r="AR13" s="237">
        <f>[4]Лист1!$D$303</f>
        <v>11</v>
      </c>
      <c r="AS13" s="240">
        <f t="shared" si="3"/>
        <v>10.23</v>
      </c>
      <c r="AT13" s="237">
        <v>0</v>
      </c>
      <c r="AU13" s="237">
        <v>0</v>
      </c>
      <c r="AV13" s="237">
        <v>3</v>
      </c>
      <c r="AW13" s="240">
        <f t="shared" si="12"/>
        <v>2.82</v>
      </c>
      <c r="AX13" s="241">
        <f t="shared" si="13"/>
        <v>3</v>
      </c>
      <c r="AY13" s="241"/>
      <c r="AZ13" s="241"/>
      <c r="BA13" s="241"/>
      <c r="BB13" s="241"/>
      <c r="BC13" s="241">
        <v>1</v>
      </c>
    </row>
    <row r="14" spans="1:55" s="79" customFormat="1" ht="31.5" x14ac:dyDescent="0.3">
      <c r="A14" s="118" t="s">
        <v>375</v>
      </c>
      <c r="B14" s="233">
        <v>32.287999999999997</v>
      </c>
      <c r="C14" s="233">
        <v>26.9</v>
      </c>
      <c r="D14" s="233">
        <f>[3]Диагностика!$AL$34</f>
        <v>20.221742046648373</v>
      </c>
      <c r="E14" s="233">
        <v>21.028932678903399</v>
      </c>
      <c r="F14" s="233">
        <v>21.784937234406012</v>
      </c>
      <c r="G14" s="233">
        <v>22.567889704951064</v>
      </c>
      <c r="H14" s="234">
        <v>11.143709336240926</v>
      </c>
      <c r="I14" s="234">
        <f t="shared" si="4"/>
        <v>11.737036241658382</v>
      </c>
      <c r="J14" s="234">
        <f t="shared" si="5"/>
        <v>12.370838021839013</v>
      </c>
      <c r="K14" s="234">
        <f t="shared" si="6"/>
        <v>12.716858606394315</v>
      </c>
      <c r="L14" s="234">
        <f t="shared" si="7"/>
        <v>13.072914590733701</v>
      </c>
      <c r="M14" s="234">
        <f t="shared" si="8"/>
        <v>13.399667207703553</v>
      </c>
      <c r="N14" s="235">
        <v>33.408746846089151</v>
      </c>
      <c r="O14" s="235">
        <f t="shared" si="1"/>
        <v>33.668629100084104</v>
      </c>
      <c r="P14" s="235">
        <f t="shared" si="9"/>
        <v>33.668629100084104</v>
      </c>
      <c r="Q14" s="235">
        <f t="shared" si="10"/>
        <v>33.668629100084104</v>
      </c>
      <c r="R14" s="235">
        <f t="shared" si="10"/>
        <v>33.668629100084104</v>
      </c>
      <c r="S14" s="235">
        <f t="shared" si="10"/>
        <v>33.668629100084104</v>
      </c>
      <c r="T14" s="235">
        <v>14078.06</v>
      </c>
      <c r="U14" s="235">
        <v>20580</v>
      </c>
      <c r="V14" s="235">
        <v>17936.72</v>
      </c>
      <c r="W14" s="235">
        <v>9729.8700000000008</v>
      </c>
      <c r="X14" s="235">
        <v>9908.4</v>
      </c>
      <c r="Y14" s="235">
        <v>9908.4</v>
      </c>
      <c r="Z14" s="236">
        <v>12701.66</v>
      </c>
      <c r="AA14" s="235">
        <v>20361.5</v>
      </c>
      <c r="AB14" s="235">
        <v>20763.89</v>
      </c>
      <c r="AC14" s="235">
        <v>9815.2900000000009</v>
      </c>
      <c r="AD14" s="235">
        <v>10005.629999999999</v>
      </c>
      <c r="AE14" s="235">
        <v>10005.629999999999</v>
      </c>
      <c r="AF14" s="237">
        <v>2</v>
      </c>
      <c r="AG14" s="237">
        <v>2</v>
      </c>
      <c r="AH14" s="119"/>
      <c r="AI14" s="119"/>
      <c r="AJ14" s="237">
        <f t="shared" si="11"/>
        <v>7</v>
      </c>
      <c r="AK14" s="238">
        <v>0</v>
      </c>
      <c r="AL14" s="239">
        <v>0</v>
      </c>
      <c r="AM14" s="239">
        <v>0</v>
      </c>
      <c r="AN14" s="239">
        <v>0</v>
      </c>
      <c r="AO14" s="239">
        <v>1</v>
      </c>
      <c r="AP14" s="239">
        <v>1</v>
      </c>
      <c r="AQ14" s="239">
        <v>3</v>
      </c>
      <c r="AR14" s="237">
        <f>[4]Лист1!$D$301</f>
        <v>12</v>
      </c>
      <c r="AS14" s="240">
        <f t="shared" si="3"/>
        <v>11.16</v>
      </c>
      <c r="AT14" s="237">
        <v>0</v>
      </c>
      <c r="AU14" s="237">
        <v>0</v>
      </c>
      <c r="AV14" s="237">
        <v>3</v>
      </c>
      <c r="AW14" s="240">
        <f t="shared" si="12"/>
        <v>2.82</v>
      </c>
      <c r="AX14" s="241">
        <f t="shared" si="13"/>
        <v>4</v>
      </c>
      <c r="AY14" s="241"/>
      <c r="AZ14" s="241"/>
      <c r="BA14" s="241"/>
      <c r="BB14" s="241"/>
      <c r="BC14" s="241">
        <v>2</v>
      </c>
    </row>
    <row r="15" spans="1:55" s="79" customFormat="1" ht="31.5" x14ac:dyDescent="0.3">
      <c r="A15" s="118" t="s">
        <v>376</v>
      </c>
      <c r="B15" s="233">
        <v>9.2499699999999994</v>
      </c>
      <c r="C15" s="233">
        <v>14.7</v>
      </c>
      <c r="D15" s="233">
        <f>[3]Диагностика!$AL$35</f>
        <v>2.6083532786584622</v>
      </c>
      <c r="E15" s="233">
        <v>2.7124708332829788</v>
      </c>
      <c r="F15" s="233">
        <v>2.8099860204749159</v>
      </c>
      <c r="G15" s="233">
        <v>2.9109771536259994</v>
      </c>
      <c r="H15" s="234">
        <v>20.817341586900014</v>
      </c>
      <c r="I15" s="234">
        <f t="shared" si="4"/>
        <v>21.925723768280559</v>
      </c>
      <c r="J15" s="234">
        <f>Q27</f>
        <v>23.109716257522589</v>
      </c>
      <c r="K15" s="234">
        <f t="shared" si="6"/>
        <v>23.756110423723655</v>
      </c>
      <c r="L15" s="234">
        <f t="shared" si="7"/>
        <v>24.421251520498998</v>
      </c>
      <c r="M15" s="234">
        <f t="shared" si="8"/>
        <v>25.031651579997451</v>
      </c>
      <c r="N15" s="235">
        <v>5.061931340316538</v>
      </c>
      <c r="O15" s="235">
        <f t="shared" si="1"/>
        <v>5.1013074394066829</v>
      </c>
      <c r="P15" s="235">
        <f t="shared" si="9"/>
        <v>5.1013074394066829</v>
      </c>
      <c r="Q15" s="235">
        <f t="shared" si="10"/>
        <v>5.1013074394066829</v>
      </c>
      <c r="R15" s="235">
        <f t="shared" si="10"/>
        <v>5.1013074394066829</v>
      </c>
      <c r="S15" s="235">
        <f t="shared" si="10"/>
        <v>5.1013074394066829</v>
      </c>
      <c r="T15" s="235">
        <v>1805.45</v>
      </c>
      <c r="U15" s="235">
        <v>3887.17</v>
      </c>
      <c r="V15" s="235">
        <v>3414.14</v>
      </c>
      <c r="W15" s="235">
        <v>2778.79</v>
      </c>
      <c r="X15" s="235">
        <v>2820.65</v>
      </c>
      <c r="Y15" s="235">
        <v>2820.65</v>
      </c>
      <c r="Z15" s="235">
        <v>3258.39</v>
      </c>
      <c r="AA15" s="235">
        <v>3955.09</v>
      </c>
      <c r="AB15" s="235">
        <v>4108.7700000000004</v>
      </c>
      <c r="AC15" s="235">
        <v>2736.46</v>
      </c>
      <c r="AD15" s="235">
        <v>2719.03</v>
      </c>
      <c r="AE15" s="235">
        <v>2719.03</v>
      </c>
      <c r="AF15" s="237">
        <v>0</v>
      </c>
      <c r="AG15" s="237">
        <v>0</v>
      </c>
      <c r="AH15" s="119"/>
      <c r="AI15" s="119"/>
      <c r="AJ15" s="237">
        <f t="shared" si="11"/>
        <v>2</v>
      </c>
      <c r="AK15" s="238">
        <v>0</v>
      </c>
      <c r="AL15" s="239">
        <v>0</v>
      </c>
      <c r="AM15" s="239">
        <v>0</v>
      </c>
      <c r="AN15" s="239">
        <v>0</v>
      </c>
      <c r="AO15" s="239">
        <v>0</v>
      </c>
      <c r="AP15" s="239">
        <v>0</v>
      </c>
      <c r="AQ15" s="239">
        <v>2</v>
      </c>
      <c r="AR15" s="237">
        <v>0</v>
      </c>
      <c r="AS15" s="240">
        <v>0</v>
      </c>
      <c r="AT15" s="237">
        <v>0</v>
      </c>
      <c r="AU15" s="237">
        <v>0</v>
      </c>
      <c r="AV15" s="237">
        <v>0</v>
      </c>
      <c r="AW15" s="240">
        <f t="shared" si="12"/>
        <v>0</v>
      </c>
      <c r="AX15" s="241">
        <f t="shared" si="13"/>
        <v>2</v>
      </c>
      <c r="AY15" s="241"/>
      <c r="AZ15" s="241"/>
      <c r="BA15" s="241"/>
      <c r="BB15" s="241"/>
      <c r="BC15" s="241"/>
    </row>
    <row r="16" spans="1:55" s="79" customFormat="1" ht="19.5" x14ac:dyDescent="0.3">
      <c r="A16" s="120" t="s">
        <v>99</v>
      </c>
      <c r="B16" s="233">
        <v>14448.552770000002</v>
      </c>
      <c r="C16" s="233">
        <f t="shared" ref="C16:G16" si="14">SUM(C8:C15)</f>
        <v>12184.12</v>
      </c>
      <c r="D16" s="233">
        <f>SUM(D8:D15)</f>
        <v>12163.999999999998</v>
      </c>
      <c r="E16" s="233">
        <f t="shared" si="14"/>
        <v>12649.550000000001</v>
      </c>
      <c r="F16" s="233">
        <f t="shared" si="14"/>
        <v>13104.309999999998</v>
      </c>
      <c r="G16" s="233">
        <f t="shared" si="14"/>
        <v>13575.28</v>
      </c>
      <c r="H16" s="234">
        <v>5176.8764568764573</v>
      </c>
      <c r="I16" s="234">
        <f>P29</f>
        <v>5452.51</v>
      </c>
      <c r="J16" s="234">
        <f>Q29</f>
        <v>5746.9463869463871</v>
      </c>
      <c r="K16" s="234">
        <f t="shared" ref="K16:M16" si="15">R29</f>
        <v>5907.6923076923085</v>
      </c>
      <c r="L16" s="233">
        <f t="shared" si="15"/>
        <v>6073.1002331002337</v>
      </c>
      <c r="M16" s="233">
        <f t="shared" si="15"/>
        <v>6224.8951048951049</v>
      </c>
      <c r="N16" s="233">
        <v>13241</v>
      </c>
      <c r="O16" s="244">
        <f>SUM(O8:O15)</f>
        <v>13344.000000000002</v>
      </c>
      <c r="P16" s="244">
        <f t="shared" ref="P16:AE16" si="16">SUM(P8:P15)</f>
        <v>13347.000000000002</v>
      </c>
      <c r="Q16" s="244">
        <f t="shared" si="16"/>
        <v>13347.000000000002</v>
      </c>
      <c r="R16" s="244">
        <f t="shared" si="16"/>
        <v>13347.000000000002</v>
      </c>
      <c r="S16" s="244">
        <f t="shared" si="16"/>
        <v>13347.000000000002</v>
      </c>
      <c r="T16" s="244">
        <f t="shared" si="16"/>
        <v>938347.81</v>
      </c>
      <c r="U16" s="244">
        <f t="shared" si="16"/>
        <v>805000.66999999993</v>
      </c>
      <c r="V16" s="244">
        <f t="shared" si="16"/>
        <v>1884865.46</v>
      </c>
      <c r="W16" s="244">
        <f t="shared" si="16"/>
        <v>785018.96000000008</v>
      </c>
      <c r="X16" s="244">
        <f t="shared" si="16"/>
        <v>510214.85000000009</v>
      </c>
      <c r="Y16" s="244">
        <f t="shared" si="16"/>
        <v>447030.35000000009</v>
      </c>
      <c r="Z16" s="244">
        <f t="shared" si="16"/>
        <v>945849.25000000012</v>
      </c>
      <c r="AA16" s="244">
        <f t="shared" si="16"/>
        <v>804152.79</v>
      </c>
      <c r="AB16" s="244">
        <f t="shared" si="16"/>
        <v>1948497.96</v>
      </c>
      <c r="AC16" s="244">
        <f t="shared" si="16"/>
        <v>805268.55</v>
      </c>
      <c r="AD16" s="244">
        <f t="shared" si="16"/>
        <v>530789.16</v>
      </c>
      <c r="AE16" s="244">
        <f t="shared" si="16"/>
        <v>467779.16000000003</v>
      </c>
      <c r="AF16" s="244">
        <v>81</v>
      </c>
      <c r="AG16" s="244">
        <f>SUM(AG8:AG15)</f>
        <v>78</v>
      </c>
      <c r="AH16" s="119"/>
      <c r="AI16" s="119"/>
      <c r="AJ16" s="237">
        <f>AK16+AL16+AM16+AN16+AO16+AP16+AQ16</f>
        <v>475</v>
      </c>
      <c r="AK16" s="237">
        <v>47</v>
      </c>
      <c r="AL16" s="237">
        <v>31</v>
      </c>
      <c r="AM16" s="237">
        <f t="shared" ref="AM16" si="17">AM8+AM9+AM10+AM11+AM12+AM13+AM14+AM15</f>
        <v>1</v>
      </c>
      <c r="AN16" s="237">
        <v>31</v>
      </c>
      <c r="AO16" s="237">
        <v>65</v>
      </c>
      <c r="AP16" s="237">
        <v>47</v>
      </c>
      <c r="AQ16" s="237">
        <f>SUM(AQ8:AQ15)</f>
        <v>253</v>
      </c>
      <c r="AR16" s="237">
        <f>SUM(AR8:AR15)</f>
        <v>695</v>
      </c>
      <c r="AS16" s="240">
        <f>SUM(AS8:AS15)</f>
        <v>646.35</v>
      </c>
      <c r="AT16" s="237">
        <f t="shared" ref="AT16:AW16" si="18">SUM(AT8:AT15)</f>
        <v>12</v>
      </c>
      <c r="AU16" s="237">
        <f t="shared" si="18"/>
        <v>12</v>
      </c>
      <c r="AV16" s="237">
        <f t="shared" si="18"/>
        <v>252</v>
      </c>
      <c r="AW16" s="240">
        <f t="shared" si="18"/>
        <v>236.87999999999997</v>
      </c>
      <c r="AX16" s="241">
        <f>SUM(AX8:AX15)</f>
        <v>74</v>
      </c>
      <c r="AY16" s="241">
        <f>SUM(AY8:AY15)</f>
        <v>17</v>
      </c>
      <c r="AZ16" s="241">
        <f t="shared" ref="AZ16:BC16" si="19">SUM(AZ8:AZ15)</f>
        <v>10</v>
      </c>
      <c r="BA16" s="241">
        <f t="shared" si="19"/>
        <v>6</v>
      </c>
      <c r="BB16" s="241">
        <f t="shared" si="19"/>
        <v>0</v>
      </c>
      <c r="BC16" s="241">
        <f t="shared" si="19"/>
        <v>13</v>
      </c>
    </row>
    <row r="17" spans="1:55" s="79" customFormat="1" ht="19.5" x14ac:dyDescent="0.3">
      <c r="A17" s="245"/>
      <c r="B17" s="246"/>
      <c r="C17" s="247"/>
      <c r="D17" s="247"/>
      <c r="E17" s="247"/>
      <c r="F17" s="247"/>
      <c r="G17" s="247"/>
      <c r="H17" s="246"/>
      <c r="I17" s="247"/>
      <c r="J17" s="247"/>
      <c r="K17" s="247"/>
      <c r="L17" s="247"/>
      <c r="M17" s="247"/>
      <c r="N17" s="246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J17" s="248"/>
    </row>
    <row r="18" spans="1:55" s="79" customFormat="1" ht="56.25" customHeight="1" x14ac:dyDescent="0.2">
      <c r="A18" s="503" t="s">
        <v>98</v>
      </c>
      <c r="B18" s="503"/>
      <c r="C18" s="503"/>
      <c r="D18" s="503"/>
      <c r="E18" s="503"/>
      <c r="F18" s="503"/>
      <c r="G18" s="503"/>
      <c r="H18" s="503"/>
      <c r="I18" s="503"/>
      <c r="J18" s="503"/>
      <c r="K18" s="503"/>
      <c r="L18" s="503"/>
      <c r="M18" s="503"/>
      <c r="N18" s="503"/>
      <c r="O18" s="503"/>
      <c r="P18" s="503"/>
      <c r="Q18" s="503"/>
      <c r="R18" s="503"/>
      <c r="S18" s="503"/>
      <c r="T18" s="503"/>
      <c r="U18" s="503"/>
      <c r="V18" s="503"/>
      <c r="W18" s="503"/>
      <c r="X18" s="503"/>
      <c r="Y18" s="503"/>
      <c r="Z18" s="503"/>
      <c r="AA18" s="503"/>
      <c r="AB18" s="503"/>
      <c r="AC18" s="503"/>
      <c r="AD18" s="503"/>
      <c r="AE18" s="503"/>
      <c r="AF18" s="503"/>
      <c r="AG18" s="503"/>
      <c r="AJ18" s="503" t="s">
        <v>98</v>
      </c>
      <c r="AK18" s="503"/>
      <c r="AL18" s="503"/>
      <c r="AM18" s="503"/>
      <c r="AN18" s="503"/>
      <c r="AO18" s="503"/>
      <c r="AP18" s="503"/>
      <c r="AQ18" s="503"/>
      <c r="AR18" s="503"/>
      <c r="AS18" s="503"/>
      <c r="AT18" s="503"/>
      <c r="AU18" s="503"/>
      <c r="AV18" s="503"/>
      <c r="AW18" s="503"/>
      <c r="AX18" s="503"/>
      <c r="AY18" s="503"/>
      <c r="AZ18" s="503"/>
      <c r="BA18" s="503"/>
      <c r="BB18" s="503"/>
      <c r="BC18" s="503"/>
    </row>
    <row r="19" spans="1:55" s="228" customFormat="1" ht="52.5" x14ac:dyDescent="0.3">
      <c r="A19" s="253" t="s">
        <v>402</v>
      </c>
      <c r="B19" s="253">
        <v>2018</v>
      </c>
      <c r="C19" s="254" t="s">
        <v>394</v>
      </c>
      <c r="D19" s="253">
        <v>2019</v>
      </c>
      <c r="E19" s="255">
        <v>2020</v>
      </c>
      <c r="F19" s="253">
        <v>2021</v>
      </c>
      <c r="G19" s="253">
        <v>2022</v>
      </c>
      <c r="H19" s="256" t="s">
        <v>518</v>
      </c>
      <c r="I19" s="255">
        <v>2023</v>
      </c>
      <c r="J19" s="255"/>
      <c r="K19" s="257" t="s">
        <v>401</v>
      </c>
      <c r="L19" s="255">
        <v>2018</v>
      </c>
      <c r="M19" s="255" t="s">
        <v>8</v>
      </c>
      <c r="N19" s="255">
        <v>2019</v>
      </c>
      <c r="O19" s="255">
        <v>2020</v>
      </c>
      <c r="P19" s="255">
        <v>2022</v>
      </c>
      <c r="Q19" s="255">
        <v>2023</v>
      </c>
      <c r="R19" s="255">
        <v>2024</v>
      </c>
      <c r="S19" s="255">
        <v>2025</v>
      </c>
      <c r="T19" s="255">
        <v>2026</v>
      </c>
      <c r="U19" s="255"/>
      <c r="V19" s="255"/>
      <c r="W19" s="255"/>
      <c r="X19" s="255"/>
      <c r="Y19" s="252"/>
      <c r="Z19" s="249"/>
      <c r="AA19" s="249"/>
      <c r="AB19" s="249"/>
      <c r="AC19" s="249"/>
      <c r="AD19" s="249"/>
      <c r="AE19" s="249"/>
      <c r="AF19" s="249"/>
      <c r="AG19" s="249">
        <v>2026</v>
      </c>
      <c r="AH19" s="249">
        <v>2027</v>
      </c>
      <c r="AI19" s="225"/>
      <c r="AJ19" s="225"/>
    </row>
    <row r="20" spans="1:55" s="228" customFormat="1" ht="36.6" customHeight="1" x14ac:dyDescent="0.2">
      <c r="A20" s="258" t="s">
        <v>369</v>
      </c>
      <c r="B20" s="259">
        <v>3374</v>
      </c>
      <c r="C20" s="260">
        <f>B20/13079*100</f>
        <v>25.797079287407293</v>
      </c>
      <c r="D20" s="261">
        <f>48*C20%+B20</f>
        <v>3386.3825980579554</v>
      </c>
      <c r="E20" s="261">
        <f>12969*C20%</f>
        <v>3345.6232127838516</v>
      </c>
      <c r="F20" s="262">
        <f>$F$28*C20%</f>
        <v>3415.7912684455996</v>
      </c>
      <c r="G20" s="262">
        <f>G28*C20%</f>
        <v>3442.362260111629</v>
      </c>
      <c r="H20" s="255">
        <f>240-240</f>
        <v>0</v>
      </c>
      <c r="I20" s="261">
        <f t="shared" ref="I20:I28" si="20">G20-H20</f>
        <v>3442.362260111629</v>
      </c>
      <c r="J20" s="255"/>
      <c r="K20" s="258" t="s">
        <v>385</v>
      </c>
      <c r="L20" s="263">
        <v>714.91470127380796</v>
      </c>
      <c r="M20" s="260">
        <f>L20/L28*100</f>
        <v>16.038467779558228</v>
      </c>
      <c r="N20" s="264">
        <f>4614.897*M20%</f>
        <v>740.15876840479939</v>
      </c>
      <c r="O20" s="264">
        <f>4809.94*M20%</f>
        <v>771.44067711608307</v>
      </c>
      <c r="P20" s="264">
        <f>$P$29*M20%</f>
        <v>874.49905952719052</v>
      </c>
      <c r="Q20" s="264">
        <f>$Q$29*M20%</f>
        <v>921.72214457888208</v>
      </c>
      <c r="R20" s="264">
        <f>$R$29*M20%</f>
        <v>947.50332728467095</v>
      </c>
      <c r="S20" s="264">
        <f>$S$29*M20%</f>
        <v>974.03222410605667</v>
      </c>
      <c r="T20" s="264">
        <f>$T$29*M20%</f>
        <v>998.37779570989881</v>
      </c>
      <c r="U20" s="264"/>
      <c r="V20" s="264"/>
      <c r="W20" s="264"/>
      <c r="X20" s="264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25"/>
      <c r="AJ20" s="225"/>
    </row>
    <row r="21" spans="1:55" s="228" customFormat="1" ht="31.5" x14ac:dyDescent="0.2">
      <c r="A21" s="258" t="s">
        <v>370</v>
      </c>
      <c r="B21" s="259">
        <v>8653</v>
      </c>
      <c r="C21" s="260">
        <f t="shared" ref="C21:C27" si="21">B21/13079*100</f>
        <v>66.1594923159263</v>
      </c>
      <c r="D21" s="261">
        <f>48*C21%+B21</f>
        <v>8684.7565563116441</v>
      </c>
      <c r="E21" s="261">
        <f>12969*C21%</f>
        <v>8580.2245584524826</v>
      </c>
      <c r="F21" s="262">
        <f t="shared" ref="F21:F27" si="22">$F$28*C21%</f>
        <v>8760.1783775518015</v>
      </c>
      <c r="G21" s="262">
        <f>G28*C21%</f>
        <v>8828.3226546372061</v>
      </c>
      <c r="H21" s="255">
        <v>-2</v>
      </c>
      <c r="I21" s="261">
        <f t="shared" si="20"/>
        <v>8830.3226546372061</v>
      </c>
      <c r="J21" s="255"/>
      <c r="K21" s="258" t="s">
        <v>386</v>
      </c>
      <c r="L21" s="263">
        <v>3181.8038427212427</v>
      </c>
      <c r="M21" s="260">
        <f>L21/L28*100</f>
        <v>71.380905052635839</v>
      </c>
      <c r="N21" s="264">
        <f t="shared" ref="N21:N27" si="23">4614.897*M21%</f>
        <v>3294.1552458469396</v>
      </c>
      <c r="O21" s="264">
        <f>4809.94*M21%</f>
        <v>3433.3787044887517</v>
      </c>
      <c r="P21" s="264">
        <f t="shared" ref="P21:P28" si="24">$P$29*M21%</f>
        <v>3892.0509860854745</v>
      </c>
      <c r="Q21" s="264">
        <f t="shared" ref="Q21:Q27" si="25">$Q$29*M21%</f>
        <v>4102.2223438920864</v>
      </c>
      <c r="R21" s="264">
        <f t="shared" ref="R21:R28" si="26">$R$29*M21%</f>
        <v>4216.9642369557178</v>
      </c>
      <c r="S21" s="264">
        <f t="shared" ref="S21:S28" si="27">$S$29*M21%</f>
        <v>4335.0339111406838</v>
      </c>
      <c r="T21" s="264">
        <f t="shared" ref="T21:T28" si="28">$T$29*M21%</f>
        <v>4443.3864644513505</v>
      </c>
      <c r="U21" s="264"/>
      <c r="V21" s="264"/>
      <c r="W21" s="264"/>
      <c r="X21" s="264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25"/>
      <c r="AJ21" s="225"/>
    </row>
    <row r="22" spans="1:55" s="228" customFormat="1" ht="31.5" x14ac:dyDescent="0.2">
      <c r="A22" s="258" t="s">
        <v>371</v>
      </c>
      <c r="B22" s="259">
        <v>768</v>
      </c>
      <c r="C22" s="260">
        <f t="shared" si="21"/>
        <v>5.8720085633458217</v>
      </c>
      <c r="D22" s="261">
        <f>48*C22%+B22</f>
        <v>770.81856411040599</v>
      </c>
      <c r="E22" s="261">
        <f t="shared" ref="E22:E27" si="29">12969*C22%</f>
        <v>761.54079058031959</v>
      </c>
      <c r="F22" s="262">
        <f t="shared" si="22"/>
        <v>777.51265387262026</v>
      </c>
      <c r="G22" s="262">
        <f>G28*C22%</f>
        <v>783.5608226928664</v>
      </c>
      <c r="H22" s="255">
        <v>0</v>
      </c>
      <c r="I22" s="261">
        <f t="shared" si="20"/>
        <v>783.5608226928664</v>
      </c>
      <c r="J22" s="255"/>
      <c r="K22" s="258" t="s">
        <v>387</v>
      </c>
      <c r="L22" s="263">
        <v>390.49801221070561</v>
      </c>
      <c r="M22" s="260">
        <f>L22/L28*100</f>
        <v>8.7604713900326558</v>
      </c>
      <c r="N22" s="264">
        <f t="shared" si="23"/>
        <v>404.28673136447537</v>
      </c>
      <c r="O22" s="264">
        <f t="shared" ref="O22:O28" si="30">4809.94*M22%</f>
        <v>421.37341757773675</v>
      </c>
      <c r="P22" s="264">
        <f t="shared" si="24"/>
        <v>477.66557858866963</v>
      </c>
      <c r="Q22" s="264">
        <f t="shared" si="25"/>
        <v>503.45959402895369</v>
      </c>
      <c r="R22" s="264">
        <f t="shared" si="26"/>
        <v>517.54169442654472</v>
      </c>
      <c r="S22" s="264">
        <f t="shared" si="27"/>
        <v>532.03220840875258</v>
      </c>
      <c r="T22" s="264">
        <f t="shared" si="28"/>
        <v>545.33015472387899</v>
      </c>
      <c r="U22" s="264"/>
      <c r="V22" s="264"/>
      <c r="W22" s="264"/>
      <c r="X22" s="264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25"/>
      <c r="AJ22" s="225"/>
    </row>
    <row r="23" spans="1:55" s="228" customFormat="1" ht="31.5" x14ac:dyDescent="0.2">
      <c r="A23" s="258" t="s">
        <v>372</v>
      </c>
      <c r="B23" s="259">
        <v>129</v>
      </c>
      <c r="C23" s="260">
        <f t="shared" si="21"/>
        <v>0.98631393837449355</v>
      </c>
      <c r="D23" s="261">
        <f t="shared" ref="D23:D27" si="31">48*C23%+B23</f>
        <v>129.47343069041975</v>
      </c>
      <c r="E23" s="261">
        <f t="shared" si="29"/>
        <v>127.91505466778807</v>
      </c>
      <c r="F23" s="262">
        <f t="shared" si="22"/>
        <v>130.59782858016669</v>
      </c>
      <c r="G23" s="262">
        <f>G28*C23%</f>
        <v>131.6137319366924</v>
      </c>
      <c r="H23" s="255">
        <v>0</v>
      </c>
      <c r="I23" s="261">
        <f t="shared" si="20"/>
        <v>131.6137319366924</v>
      </c>
      <c r="J23" s="255"/>
      <c r="K23" s="258" t="s">
        <v>388</v>
      </c>
      <c r="L23" s="263">
        <v>41.353097553802151</v>
      </c>
      <c r="M23" s="260">
        <f>L23/L28*100</f>
        <v>0.92771951887385651</v>
      </c>
      <c r="N23" s="264">
        <f t="shared" si="23"/>
        <v>42.813300244924037</v>
      </c>
      <c r="O23" s="264">
        <f t="shared" si="30"/>
        <v>44.622752226121172</v>
      </c>
      <c r="P23" s="264">
        <f t="shared" si="24"/>
        <v>50.583999538548916</v>
      </c>
      <c r="Q23" s="264">
        <f t="shared" si="25"/>
        <v>53.315543370917503</v>
      </c>
      <c r="R23" s="264">
        <f t="shared" si="26"/>
        <v>54.806814653470916</v>
      </c>
      <c r="S23" s="264">
        <f t="shared" si="27"/>
        <v>56.341336263244543</v>
      </c>
      <c r="T23" s="264">
        <f t="shared" si="28"/>
        <v>57.749566917535113</v>
      </c>
      <c r="U23" s="264"/>
      <c r="V23" s="264"/>
      <c r="W23" s="264"/>
      <c r="X23" s="264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25"/>
      <c r="AJ23" s="225"/>
    </row>
    <row r="24" spans="1:55" s="155" customFormat="1" ht="31.5" x14ac:dyDescent="0.2">
      <c r="A24" s="265" t="s">
        <v>373</v>
      </c>
      <c r="B24" s="266">
        <v>37</v>
      </c>
      <c r="C24" s="267">
        <f t="shared" si="21"/>
        <v>0.28289624589035861</v>
      </c>
      <c r="D24" s="268">
        <f t="shared" si="31"/>
        <v>37.135790198027372</v>
      </c>
      <c r="E24" s="269">
        <f t="shared" si="29"/>
        <v>36.688814129520608</v>
      </c>
      <c r="F24" s="270">
        <f t="shared" si="22"/>
        <v>37.458291918342383</v>
      </c>
      <c r="G24" s="270">
        <f>G28*C24%</f>
        <v>37.749675051609451</v>
      </c>
      <c r="H24" s="271">
        <v>0</v>
      </c>
      <c r="I24" s="269">
        <f t="shared" si="20"/>
        <v>37.749675051609451</v>
      </c>
      <c r="J24" s="271"/>
      <c r="K24" s="265" t="s">
        <v>389</v>
      </c>
      <c r="L24" s="272">
        <v>81.609925508610345</v>
      </c>
      <c r="M24" s="267">
        <f>L24/L28*100</f>
        <v>1.8308452161213764</v>
      </c>
      <c r="N24" s="273">
        <f t="shared" si="23"/>
        <v>84.491620953428921</v>
      </c>
      <c r="O24" s="273">
        <f t="shared" si="30"/>
        <v>88.062556388308522</v>
      </c>
      <c r="P24" s="273">
        <f t="shared" si="24"/>
        <v>99.827018493539668</v>
      </c>
      <c r="Q24" s="273">
        <f t="shared" si="25"/>
        <v>105.21769299846821</v>
      </c>
      <c r="R24" s="273">
        <f t="shared" si="26"/>
        <v>108.16070199855517</v>
      </c>
      <c r="S24" s="273">
        <f t="shared" si="27"/>
        <v>111.18906508797178</v>
      </c>
      <c r="T24" s="274">
        <f t="shared" si="28"/>
        <v>113.96819423654576</v>
      </c>
      <c r="U24" s="274"/>
      <c r="V24" s="274"/>
      <c r="W24" s="274"/>
      <c r="X24" s="274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17"/>
      <c r="AJ24" s="117"/>
    </row>
    <row r="25" spans="1:55" s="155" customFormat="1" ht="31.5" x14ac:dyDescent="0.2">
      <c r="A25" s="265" t="s">
        <v>374</v>
      </c>
      <c r="B25" s="275">
        <v>80</v>
      </c>
      <c r="C25" s="267">
        <f t="shared" si="21"/>
        <v>0.6116675586818564</v>
      </c>
      <c r="D25" s="268">
        <f t="shared" si="31"/>
        <v>80.293600428167295</v>
      </c>
      <c r="E25" s="269">
        <f t="shared" si="29"/>
        <v>79.32716568544997</v>
      </c>
      <c r="F25" s="270">
        <f t="shared" si="22"/>
        <v>80.990901445064608</v>
      </c>
      <c r="G25" s="270">
        <f>G28*C25%</f>
        <v>81.620919030506926</v>
      </c>
      <c r="H25" s="271">
        <v>-1</v>
      </c>
      <c r="I25" s="269">
        <f t="shared" si="20"/>
        <v>82.620919030506926</v>
      </c>
      <c r="J25" s="271"/>
      <c r="K25" s="265" t="s">
        <v>390</v>
      </c>
      <c r="L25" s="272">
        <v>19.800663272550249</v>
      </c>
      <c r="M25" s="267">
        <f>L25/L28*100</f>
        <v>0.4442100565911441</v>
      </c>
      <c r="N25" s="273">
        <f t="shared" si="23"/>
        <v>20.499836575323013</v>
      </c>
      <c r="O25" s="273">
        <f t="shared" si="30"/>
        <v>21.366237196000075</v>
      </c>
      <c r="P25" s="273">
        <f t="shared" si="24"/>
        <v>24.220597756637794</v>
      </c>
      <c r="Q25" s="273">
        <f t="shared" si="25"/>
        <v>25.528513797717256</v>
      </c>
      <c r="R25" s="273">
        <f t="shared" si="26"/>
        <v>26.242563343230671</v>
      </c>
      <c r="S25" s="273">
        <f t="shared" si="27"/>
        <v>26.977321982291453</v>
      </c>
      <c r="T25" s="274">
        <f t="shared" si="28"/>
        <v>27.651610068193904</v>
      </c>
      <c r="U25" s="274"/>
      <c r="V25" s="274"/>
      <c r="W25" s="274"/>
      <c r="X25" s="274"/>
      <c r="Y25" s="156"/>
      <c r="Z25" s="156"/>
      <c r="AA25" s="156"/>
      <c r="AB25" s="156"/>
      <c r="AC25" s="156"/>
      <c r="AD25" s="156"/>
      <c r="AE25" s="156"/>
      <c r="AF25" s="156"/>
      <c r="AG25" s="156"/>
      <c r="AH25" s="156"/>
      <c r="AI25" s="117"/>
      <c r="AJ25" s="117"/>
    </row>
    <row r="26" spans="1:55" s="155" customFormat="1" ht="31.5" x14ac:dyDescent="0.2">
      <c r="A26" s="265" t="s">
        <v>375</v>
      </c>
      <c r="B26" s="266">
        <v>33</v>
      </c>
      <c r="C26" s="267">
        <f t="shared" si="21"/>
        <v>0.25231286795626579</v>
      </c>
      <c r="D26" s="268">
        <f t="shared" si="31"/>
        <v>33.121110176619005</v>
      </c>
      <c r="E26" s="269">
        <f t="shared" si="29"/>
        <v>32.722455845248106</v>
      </c>
      <c r="F26" s="270">
        <f t="shared" si="22"/>
        <v>33.408746846089151</v>
      </c>
      <c r="G26" s="270">
        <f>G28*C26%</f>
        <v>33.668629100084104</v>
      </c>
      <c r="H26" s="271">
        <v>0</v>
      </c>
      <c r="I26" s="269">
        <f t="shared" si="20"/>
        <v>33.668629100084104</v>
      </c>
      <c r="J26" s="271"/>
      <c r="K26" s="265" t="s">
        <v>391</v>
      </c>
      <c r="L26" s="272">
        <v>9.595184428307741</v>
      </c>
      <c r="M26" s="267">
        <f>L26/L28*100</f>
        <v>0.21525932536865375</v>
      </c>
      <c r="N26" s="273">
        <f t="shared" si="23"/>
        <v>9.93399614865824</v>
      </c>
      <c r="O26" s="273">
        <f t="shared" si="30"/>
        <v>10.353844394637022</v>
      </c>
      <c r="P26" s="273">
        <f t="shared" si="24"/>
        <v>11.737036241658382</v>
      </c>
      <c r="Q26" s="273">
        <f t="shared" si="25"/>
        <v>12.370838021839013</v>
      </c>
      <c r="R26" s="273">
        <f t="shared" si="26"/>
        <v>12.716858606394315</v>
      </c>
      <c r="S26" s="273">
        <f t="shared" si="27"/>
        <v>13.072914590733701</v>
      </c>
      <c r="T26" s="274">
        <f t="shared" si="28"/>
        <v>13.399667207703553</v>
      </c>
      <c r="U26" s="274"/>
      <c r="V26" s="274"/>
      <c r="W26" s="274"/>
      <c r="X26" s="274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17"/>
      <c r="AJ26" s="117"/>
    </row>
    <row r="27" spans="1:55" s="155" customFormat="1" ht="31.5" x14ac:dyDescent="0.2">
      <c r="A27" s="265" t="s">
        <v>376</v>
      </c>
      <c r="B27" s="275">
        <v>5</v>
      </c>
      <c r="C27" s="267">
        <f t="shared" si="21"/>
        <v>3.8229222417616025E-2</v>
      </c>
      <c r="D27" s="268">
        <f t="shared" si="31"/>
        <v>5.0183500267604559</v>
      </c>
      <c r="E27" s="269">
        <f t="shared" si="29"/>
        <v>4.9579478553406231</v>
      </c>
      <c r="F27" s="270">
        <f t="shared" si="22"/>
        <v>5.061931340316538</v>
      </c>
      <c r="G27" s="270">
        <f>G28*C27%</f>
        <v>5.1013074394066829</v>
      </c>
      <c r="H27" s="271">
        <v>0</v>
      </c>
      <c r="I27" s="269">
        <f t="shared" si="20"/>
        <v>5.1013074394066829</v>
      </c>
      <c r="J27" s="271"/>
      <c r="K27" s="265" t="s">
        <v>392</v>
      </c>
      <c r="L27" s="272">
        <v>17.924573030973001</v>
      </c>
      <c r="M27" s="267">
        <f>L27/L28*100</f>
        <v>0.40212166081823891</v>
      </c>
      <c r="N27" s="273">
        <f t="shared" si="23"/>
        <v>18.557500461451085</v>
      </c>
      <c r="O27" s="273">
        <f t="shared" si="30"/>
        <v>19.341810612360799</v>
      </c>
      <c r="P27" s="273">
        <f t="shared" si="24"/>
        <v>21.925723768280559</v>
      </c>
      <c r="Q27" s="273">
        <f t="shared" si="25"/>
        <v>23.109716257522589</v>
      </c>
      <c r="R27" s="273">
        <f t="shared" si="26"/>
        <v>23.756110423723655</v>
      </c>
      <c r="S27" s="273">
        <f t="shared" si="27"/>
        <v>24.421251520498998</v>
      </c>
      <c r="T27" s="274">
        <f t="shared" si="28"/>
        <v>25.031651579997451</v>
      </c>
      <c r="U27" s="274"/>
      <c r="V27" s="274"/>
      <c r="W27" s="274"/>
      <c r="X27" s="274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17"/>
      <c r="AJ27" s="117"/>
      <c r="AO27" s="498"/>
      <c r="AP27" s="499"/>
    </row>
    <row r="28" spans="1:55" s="155" customFormat="1" ht="18.75" x14ac:dyDescent="0.2">
      <c r="A28" s="276"/>
      <c r="B28" s="276">
        <f>SUM(B20:B27)</f>
        <v>13079</v>
      </c>
      <c r="C28" s="267">
        <f>SUM(C20:C27)</f>
        <v>100</v>
      </c>
      <c r="D28" s="268">
        <f>SUM(D20:D27)</f>
        <v>13127</v>
      </c>
      <c r="E28" s="269">
        <f>SUM(E20:E27)</f>
        <v>12969.000000000004</v>
      </c>
      <c r="F28" s="271">
        <v>13241</v>
      </c>
      <c r="G28" s="271">
        <v>13344</v>
      </c>
      <c r="H28" s="271">
        <f>SUM(H20:H27)</f>
        <v>-3</v>
      </c>
      <c r="I28" s="269">
        <f t="shared" si="20"/>
        <v>13347</v>
      </c>
      <c r="J28" s="271"/>
      <c r="K28" s="276"/>
      <c r="L28" s="277">
        <f>SUM(L20:L27)</f>
        <v>4457.5</v>
      </c>
      <c r="M28" s="276">
        <f>SUM(M20:M27)</f>
        <v>100</v>
      </c>
      <c r="N28" s="273">
        <f>SUM(N20:N27)</f>
        <v>4614.896999999999</v>
      </c>
      <c r="O28" s="273">
        <f t="shared" si="30"/>
        <v>4809.9399999999996</v>
      </c>
      <c r="P28" s="273">
        <f t="shared" si="24"/>
        <v>5452.51</v>
      </c>
      <c r="Q28" s="273">
        <f>$Q$29*M28%</f>
        <v>5746.9463869463871</v>
      </c>
      <c r="R28" s="273">
        <f t="shared" si="26"/>
        <v>5907.6923076923085</v>
      </c>
      <c r="S28" s="273">
        <f t="shared" si="27"/>
        <v>6073.1002331002337</v>
      </c>
      <c r="T28" s="274">
        <f t="shared" si="28"/>
        <v>6224.8951048951049</v>
      </c>
      <c r="U28" s="274"/>
      <c r="V28" s="274"/>
      <c r="W28" s="274"/>
      <c r="X28" s="274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17"/>
      <c r="AJ28" s="117"/>
    </row>
    <row r="29" spans="1:55" s="155" customFormat="1" ht="18.75" x14ac:dyDescent="0.25">
      <c r="A29" s="276"/>
      <c r="B29" s="276"/>
      <c r="C29" s="276"/>
      <c r="D29" s="276"/>
      <c r="E29" s="276"/>
      <c r="F29" s="271"/>
      <c r="G29" s="271"/>
      <c r="H29" s="276" t="s">
        <v>519</v>
      </c>
      <c r="I29" s="269"/>
      <c r="J29" s="276"/>
      <c r="K29" s="265" t="s">
        <v>393</v>
      </c>
      <c r="L29" s="276"/>
      <c r="M29" s="276"/>
      <c r="N29" s="276"/>
      <c r="O29" s="278">
        <v>4809.9380000000001</v>
      </c>
      <c r="P29" s="279">
        <f>'Прогноз 2024-2026 '!D147</f>
        <v>5452.51</v>
      </c>
      <c r="Q29" s="279">
        <f>'Прогноз 2024-2026 '!E147</f>
        <v>5746.9463869463871</v>
      </c>
      <c r="R29" s="279">
        <f>'Прогноз 2024-2026 '!F147</f>
        <v>5907.6923076923085</v>
      </c>
      <c r="S29" s="279">
        <f>'Прогноз 2024-2026 '!H147</f>
        <v>6073.1002331002337</v>
      </c>
      <c r="T29" s="251">
        <f>'Прогноз 2024-2026 '!I147</f>
        <v>6224.8951048951049</v>
      </c>
      <c r="U29" s="251"/>
      <c r="V29" s="251"/>
      <c r="W29" s="251"/>
      <c r="X29" s="251"/>
      <c r="Y29" s="198"/>
      <c r="Z29" s="198"/>
      <c r="AA29" s="198"/>
      <c r="AB29" s="198"/>
      <c r="AC29" s="198"/>
      <c r="AD29" s="198"/>
      <c r="AE29" s="198"/>
      <c r="AF29" s="198"/>
      <c r="AG29" s="117"/>
      <c r="AH29" s="117"/>
      <c r="AI29" s="117"/>
      <c r="AJ29" s="117"/>
    </row>
    <row r="30" spans="1:55" s="155" customFormat="1" x14ac:dyDescent="0.2">
      <c r="A30" s="271"/>
      <c r="B30" s="271"/>
      <c r="C30" s="271"/>
      <c r="D30" s="271"/>
      <c r="E30" s="271"/>
      <c r="F30" s="280"/>
      <c r="G30" s="280"/>
      <c r="H30" s="280"/>
      <c r="I30" s="280"/>
      <c r="J30" s="271"/>
      <c r="K30" s="271"/>
      <c r="L30" s="271"/>
      <c r="M30" s="271"/>
      <c r="N30" s="271"/>
      <c r="O30" s="271"/>
      <c r="P30" s="271"/>
      <c r="Q30" s="271"/>
      <c r="R30" s="271"/>
      <c r="S30" s="271"/>
      <c r="T30" s="271"/>
      <c r="U30" s="271"/>
      <c r="V30" s="271"/>
      <c r="W30" s="271"/>
      <c r="X30" s="271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</row>
    <row r="31" spans="1:55" s="155" customFormat="1" x14ac:dyDescent="0.2">
      <c r="A31" s="117"/>
      <c r="B31" s="117"/>
      <c r="C31" s="1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</row>
    <row r="32" spans="1:55" s="155" customFormat="1" x14ac:dyDescent="0.2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</row>
    <row r="33" spans="1:35" x14ac:dyDescent="0.2">
      <c r="A33" s="117"/>
      <c r="B33" s="117"/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M33" s="117"/>
      <c r="N33" s="117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</row>
    <row r="34" spans="1:35" x14ac:dyDescent="0.2">
      <c r="A34" s="117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</row>
    <row r="35" spans="1:35" x14ac:dyDescent="0.2">
      <c r="A35" s="117"/>
      <c r="B35" s="117"/>
      <c r="C35" s="117"/>
      <c r="D35" s="117"/>
      <c r="E35" s="117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</row>
    <row r="36" spans="1:35" x14ac:dyDescent="0.2">
      <c r="A36" s="117"/>
      <c r="B36" s="117"/>
      <c r="C36" s="117"/>
      <c r="D36" s="117"/>
      <c r="E36" s="117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</row>
    <row r="37" spans="1:35" x14ac:dyDescent="0.2">
      <c r="A37" s="117"/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</row>
    <row r="38" spans="1:35" x14ac:dyDescent="0.2">
      <c r="A38" s="117"/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</row>
    <row r="39" spans="1:35" x14ac:dyDescent="0.2">
      <c r="A39" s="117"/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</row>
  </sheetData>
  <mergeCells count="65">
    <mergeCell ref="AY1:BC1"/>
    <mergeCell ref="S1:AI1"/>
    <mergeCell ref="A18:AG18"/>
    <mergeCell ref="BB5:BB7"/>
    <mergeCell ref="BC5:BC7"/>
    <mergeCell ref="AG6:AG7"/>
    <mergeCell ref="AF6:AF7"/>
    <mergeCell ref="AU6:AU7"/>
    <mergeCell ref="AJ18:BC18"/>
    <mergeCell ref="AT5:AU5"/>
    <mergeCell ref="K6:M6"/>
    <mergeCell ref="A4:A7"/>
    <mergeCell ref="B6:B7"/>
    <mergeCell ref="AL5:AL7"/>
    <mergeCell ref="AW6:AW7"/>
    <mergeCell ref="AY4:BC4"/>
    <mergeCell ref="AV6:AV7"/>
    <mergeCell ref="AK4:AQ4"/>
    <mergeCell ref="AK5:AK7"/>
    <mergeCell ref="AJ4:AJ7"/>
    <mergeCell ref="AM5:AM7"/>
    <mergeCell ref="AN5:AN7"/>
    <mergeCell ref="AO5:AO7"/>
    <mergeCell ref="AP5:AP7"/>
    <mergeCell ref="AQ5:AQ7"/>
    <mergeCell ref="AA6:AA7"/>
    <mergeCell ref="AO27:AP27"/>
    <mergeCell ref="B4:G5"/>
    <mergeCell ref="AF4:AG5"/>
    <mergeCell ref="AR5:AS5"/>
    <mergeCell ref="H4:M5"/>
    <mergeCell ref="AC6:AE6"/>
    <mergeCell ref="T4:Y5"/>
    <mergeCell ref="E1:G1"/>
    <mergeCell ref="E6:G6"/>
    <mergeCell ref="D6:D7"/>
    <mergeCell ref="AT6:AT7"/>
    <mergeCell ref="Z4:AE5"/>
    <mergeCell ref="AS6:AS7"/>
    <mergeCell ref="A2:AI2"/>
    <mergeCell ref="N4:S5"/>
    <mergeCell ref="Q6:S6"/>
    <mergeCell ref="N6:N7"/>
    <mergeCell ref="O6:O7"/>
    <mergeCell ref="P6:P7"/>
    <mergeCell ref="H6:H7"/>
    <mergeCell ref="I6:I7"/>
    <mergeCell ref="J6:J7"/>
    <mergeCell ref="AB6:AB7"/>
    <mergeCell ref="AY5:AY7"/>
    <mergeCell ref="AZ5:AZ7"/>
    <mergeCell ref="BA5:BA7"/>
    <mergeCell ref="C6:C7"/>
    <mergeCell ref="AH4:AI5"/>
    <mergeCell ref="AH6:AH7"/>
    <mergeCell ref="AI6:AI7"/>
    <mergeCell ref="AR4:AW4"/>
    <mergeCell ref="AR6:AR7"/>
    <mergeCell ref="AX4:AX7"/>
    <mergeCell ref="T6:T7"/>
    <mergeCell ref="U6:U7"/>
    <mergeCell ref="V6:V7"/>
    <mergeCell ref="W6:Y6"/>
    <mergeCell ref="Z6:Z7"/>
    <mergeCell ref="AV5:AW5"/>
  </mergeCells>
  <phoneticPr fontId="14" type="noConversion"/>
  <printOptions horizontalCentered="1"/>
  <pageMargins left="0" right="0" top="0.39370078740157483" bottom="0.19685039370078741" header="0" footer="0"/>
  <pageSetup paperSize="9" scale="38" orientation="landscape" horizontalDpi="300" verticalDpi="300" r:id="rId1"/>
  <headerFooter alignWithMargins="0"/>
  <colBreaks count="1" manualBreakCount="1">
    <brk id="31" max="18" man="1"/>
  </col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indexed="50"/>
    <pageSetUpPr fitToPage="1"/>
  </sheetPr>
  <dimension ref="A1:P189"/>
  <sheetViews>
    <sheetView view="pageBreakPreview" zoomScale="75" zoomScaleNormal="75" workbookViewId="0">
      <selection activeCell="A3" sqref="A3:N3"/>
    </sheetView>
  </sheetViews>
  <sheetFormatPr defaultRowHeight="12.75" x14ac:dyDescent="0.2"/>
  <cols>
    <col min="1" max="1" width="5.5703125" customWidth="1"/>
    <col min="2" max="2" width="46.28515625" customWidth="1"/>
    <col min="3" max="3" width="22.7109375" customWidth="1"/>
    <col min="4" max="4" width="14.5703125" customWidth="1"/>
    <col min="5" max="5" width="19.28515625" customWidth="1"/>
    <col min="6" max="6" width="21.140625" customWidth="1"/>
    <col min="7" max="7" width="19.140625" customWidth="1"/>
    <col min="8" max="8" width="20.28515625" customWidth="1"/>
    <col min="9" max="9" width="24" customWidth="1"/>
    <col min="10" max="10" width="32" customWidth="1"/>
    <col min="11" max="11" width="18.7109375" customWidth="1"/>
    <col min="12" max="12" width="16.85546875" customWidth="1"/>
    <col min="13" max="13" width="16.7109375" customWidth="1"/>
    <col min="14" max="14" width="23" customWidth="1"/>
  </cols>
  <sheetData>
    <row r="1" spans="1:16" ht="64.5" customHeight="1" x14ac:dyDescent="0.2">
      <c r="I1" s="548" t="s">
        <v>495</v>
      </c>
      <c r="J1" s="549"/>
      <c r="K1" s="549"/>
      <c r="L1" s="549"/>
      <c r="M1" s="549"/>
      <c r="N1" s="549"/>
      <c r="O1" s="58"/>
      <c r="P1" s="58"/>
    </row>
    <row r="3" spans="1:16" ht="72" customHeight="1" x14ac:dyDescent="0.2">
      <c r="A3" s="550" t="s">
        <v>496</v>
      </c>
      <c r="B3" s="550"/>
      <c r="C3" s="550"/>
      <c r="D3" s="551"/>
      <c r="E3" s="551"/>
      <c r="F3" s="551"/>
      <c r="G3" s="551"/>
      <c r="H3" s="551"/>
      <c r="I3" s="551"/>
      <c r="J3" s="551"/>
      <c r="K3" s="551"/>
      <c r="L3" s="551"/>
      <c r="M3" s="551"/>
      <c r="N3" s="551"/>
    </row>
    <row r="4" spans="1:16" ht="29.25" customHeight="1" x14ac:dyDescent="0.2">
      <c r="A4" s="59"/>
      <c r="B4" s="59"/>
      <c r="C4" s="59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</row>
    <row r="5" spans="1:16" ht="63" customHeight="1" x14ac:dyDescent="0.2">
      <c r="A5" s="554" t="s">
        <v>66</v>
      </c>
      <c r="B5" s="554" t="s">
        <v>82</v>
      </c>
      <c r="C5" s="554" t="s">
        <v>76</v>
      </c>
      <c r="D5" s="554" t="s">
        <v>77</v>
      </c>
      <c r="E5" s="554" t="s">
        <v>87</v>
      </c>
      <c r="F5" s="554"/>
      <c r="G5" s="554" t="s">
        <v>78</v>
      </c>
      <c r="H5" s="554" t="s">
        <v>79</v>
      </c>
      <c r="I5" s="554" t="s">
        <v>80</v>
      </c>
      <c r="J5" s="554"/>
      <c r="K5" s="554"/>
      <c r="L5" s="554"/>
      <c r="M5" s="552" t="s">
        <v>88</v>
      </c>
      <c r="N5" s="552" t="s">
        <v>81</v>
      </c>
    </row>
    <row r="6" spans="1:16" ht="46.5" customHeight="1" x14ac:dyDescent="0.2">
      <c r="A6" s="554"/>
      <c r="B6" s="554"/>
      <c r="C6" s="554"/>
      <c r="D6" s="554"/>
      <c r="E6" s="554"/>
      <c r="F6" s="554"/>
      <c r="G6" s="554"/>
      <c r="H6" s="554"/>
      <c r="I6" s="70" t="s">
        <v>84</v>
      </c>
      <c r="J6" s="70" t="s">
        <v>85</v>
      </c>
      <c r="K6" s="70" t="s">
        <v>86</v>
      </c>
      <c r="L6" s="70" t="s">
        <v>83</v>
      </c>
      <c r="M6" s="553"/>
      <c r="N6" s="553"/>
    </row>
    <row r="7" spans="1:16" ht="27.75" customHeight="1" x14ac:dyDescent="0.2">
      <c r="A7" s="539">
        <v>1</v>
      </c>
      <c r="B7" s="527" t="s">
        <v>280</v>
      </c>
      <c r="C7" s="530" t="s">
        <v>281</v>
      </c>
      <c r="D7" s="530" t="s">
        <v>282</v>
      </c>
      <c r="E7" s="508" t="s">
        <v>497</v>
      </c>
      <c r="F7" s="508"/>
      <c r="G7" s="199">
        <f>G8+G9+G10+G11</f>
        <v>0</v>
      </c>
      <c r="H7" s="199">
        <f>H8+H9+H10+H11</f>
        <v>0</v>
      </c>
      <c r="I7" s="126" t="s">
        <v>283</v>
      </c>
      <c r="J7" s="134" t="s">
        <v>284</v>
      </c>
      <c r="K7" s="132"/>
      <c r="L7" s="132"/>
      <c r="M7" s="200">
        <f>M8+M9+M10+M11</f>
        <v>0</v>
      </c>
      <c r="N7" s="200">
        <f>N8+N9+N10+N11</f>
        <v>0</v>
      </c>
    </row>
    <row r="8" spans="1:16" ht="15.75" customHeight="1" x14ac:dyDescent="0.2">
      <c r="A8" s="539"/>
      <c r="B8" s="528"/>
      <c r="C8" s="530"/>
      <c r="D8" s="530"/>
      <c r="E8" s="508">
        <v>2023</v>
      </c>
      <c r="F8" s="508">
        <v>2013</v>
      </c>
      <c r="G8" s="126"/>
      <c r="H8" s="126"/>
      <c r="I8" s="126"/>
      <c r="J8" s="126"/>
      <c r="K8" s="132"/>
      <c r="L8" s="132"/>
      <c r="M8" s="132"/>
      <c r="N8" s="135"/>
    </row>
    <row r="9" spans="1:16" ht="15.75" customHeight="1" x14ac:dyDescent="0.2">
      <c r="A9" s="539"/>
      <c r="B9" s="528"/>
      <c r="C9" s="530"/>
      <c r="D9" s="530"/>
      <c r="E9" s="508">
        <v>2024</v>
      </c>
      <c r="F9" s="508">
        <v>2013</v>
      </c>
      <c r="G9" s="126"/>
      <c r="H9" s="126"/>
      <c r="I9" s="126"/>
      <c r="J9" s="126"/>
      <c r="K9" s="132"/>
      <c r="L9" s="132"/>
      <c r="M9" s="132"/>
      <c r="N9" s="135"/>
    </row>
    <row r="10" spans="1:16" ht="15.75" customHeight="1" x14ac:dyDescent="0.2">
      <c r="A10" s="539"/>
      <c r="B10" s="528"/>
      <c r="C10" s="530"/>
      <c r="D10" s="530"/>
      <c r="E10" s="508">
        <v>2025</v>
      </c>
      <c r="F10" s="508">
        <v>2013</v>
      </c>
      <c r="G10" s="126"/>
      <c r="H10" s="126"/>
      <c r="I10" s="126"/>
      <c r="J10" s="126"/>
      <c r="K10" s="132"/>
      <c r="L10" s="132"/>
      <c r="M10" s="132"/>
      <c r="N10" s="135"/>
    </row>
    <row r="11" spans="1:16" ht="15.75" customHeight="1" x14ac:dyDescent="0.2">
      <c r="A11" s="539"/>
      <c r="B11" s="528"/>
      <c r="C11" s="530"/>
      <c r="D11" s="530"/>
      <c r="E11" s="508">
        <v>2026</v>
      </c>
      <c r="F11" s="508">
        <v>2013</v>
      </c>
      <c r="G11" s="126"/>
      <c r="H11" s="126"/>
      <c r="I11" s="126"/>
      <c r="J11" s="126"/>
      <c r="K11" s="132"/>
      <c r="L11" s="132"/>
      <c r="M11" s="132"/>
      <c r="N11" s="135"/>
    </row>
    <row r="12" spans="1:16" ht="37.5" customHeight="1" x14ac:dyDescent="0.2">
      <c r="A12" s="539">
        <v>2</v>
      </c>
      <c r="B12" s="528"/>
      <c r="C12" s="530" t="s">
        <v>285</v>
      </c>
      <c r="D12" s="530" t="s">
        <v>286</v>
      </c>
      <c r="E12" s="508" t="s">
        <v>497</v>
      </c>
      <c r="F12" s="508"/>
      <c r="G12" s="199">
        <f>G13+G14+G15+G16</f>
        <v>0</v>
      </c>
      <c r="H12" s="199">
        <f>H13+H14+H15+H16</f>
        <v>0</v>
      </c>
      <c r="I12" s="136"/>
      <c r="J12" s="132"/>
      <c r="K12" s="132"/>
      <c r="L12" s="132"/>
      <c r="M12" s="200">
        <f>M13+M14+M15+M16</f>
        <v>0</v>
      </c>
      <c r="N12" s="200">
        <f>N13+N14+N15+N16</f>
        <v>0</v>
      </c>
    </row>
    <row r="13" spans="1:16" ht="15.75" customHeight="1" x14ac:dyDescent="0.2">
      <c r="A13" s="539"/>
      <c r="B13" s="528"/>
      <c r="C13" s="530"/>
      <c r="D13" s="530"/>
      <c r="E13" s="508">
        <v>2023</v>
      </c>
      <c r="F13" s="508">
        <v>2013</v>
      </c>
      <c r="G13" s="126"/>
      <c r="H13" s="132"/>
      <c r="I13" s="136"/>
      <c r="J13" s="132"/>
      <c r="K13" s="132"/>
      <c r="L13" s="132"/>
      <c r="M13" s="132"/>
      <c r="N13" s="135"/>
    </row>
    <row r="14" spans="1:16" ht="15.75" customHeight="1" x14ac:dyDescent="0.2">
      <c r="A14" s="539"/>
      <c r="B14" s="528"/>
      <c r="C14" s="530"/>
      <c r="D14" s="530"/>
      <c r="E14" s="508">
        <v>2024</v>
      </c>
      <c r="F14" s="508">
        <v>2013</v>
      </c>
      <c r="G14" s="126"/>
      <c r="H14" s="132"/>
      <c r="I14" s="136"/>
      <c r="J14" s="132"/>
      <c r="K14" s="132"/>
      <c r="L14" s="132"/>
      <c r="M14" s="132"/>
      <c r="N14" s="135"/>
    </row>
    <row r="15" spans="1:16" ht="15.75" customHeight="1" x14ac:dyDescent="0.2">
      <c r="A15" s="539"/>
      <c r="B15" s="528"/>
      <c r="C15" s="530"/>
      <c r="D15" s="530"/>
      <c r="E15" s="508">
        <v>2025</v>
      </c>
      <c r="F15" s="508">
        <v>2013</v>
      </c>
      <c r="G15" s="126"/>
      <c r="H15" s="135"/>
      <c r="I15" s="136"/>
      <c r="J15" s="135"/>
      <c r="K15" s="132"/>
      <c r="L15" s="132"/>
      <c r="M15" s="132"/>
      <c r="N15" s="135"/>
    </row>
    <row r="16" spans="1:16" ht="27" customHeight="1" x14ac:dyDescent="0.2">
      <c r="A16" s="539"/>
      <c r="B16" s="528"/>
      <c r="C16" s="530"/>
      <c r="D16" s="530"/>
      <c r="E16" s="508">
        <v>2026</v>
      </c>
      <c r="F16" s="508">
        <v>2013</v>
      </c>
      <c r="G16" s="126"/>
      <c r="H16" s="135"/>
      <c r="I16" s="136"/>
      <c r="J16" s="135"/>
      <c r="K16" s="132"/>
      <c r="L16" s="132"/>
      <c r="M16" s="132"/>
      <c r="N16" s="135"/>
    </row>
    <row r="17" spans="1:14" ht="39.75" customHeight="1" x14ac:dyDescent="0.2">
      <c r="A17" s="517">
        <v>3</v>
      </c>
      <c r="B17" s="528"/>
      <c r="C17" s="530" t="s">
        <v>287</v>
      </c>
      <c r="D17" s="530" t="s">
        <v>288</v>
      </c>
      <c r="E17" s="508" t="s">
        <v>497</v>
      </c>
      <c r="F17" s="508"/>
      <c r="G17" s="199">
        <f>G18+G19+G20+G21</f>
        <v>0</v>
      </c>
      <c r="H17" s="199">
        <f>H18+H19+H20+H21</f>
        <v>0</v>
      </c>
      <c r="I17" s="547" t="s">
        <v>289</v>
      </c>
      <c r="J17" s="138"/>
      <c r="K17" s="132"/>
      <c r="L17" s="132"/>
      <c r="M17" s="200">
        <f>M18+M19+M20+M21</f>
        <v>0</v>
      </c>
      <c r="N17" s="200">
        <f>N18+N19+N20+N21</f>
        <v>0</v>
      </c>
    </row>
    <row r="18" spans="1:14" x14ac:dyDescent="0.2">
      <c r="A18" s="518"/>
      <c r="B18" s="528"/>
      <c r="C18" s="531"/>
      <c r="D18" s="532"/>
      <c r="E18" s="508">
        <v>2023</v>
      </c>
      <c r="F18" s="508">
        <v>2013</v>
      </c>
      <c r="G18" s="126"/>
      <c r="H18" s="126"/>
      <c r="I18" s="542"/>
      <c r="J18" s="132"/>
      <c r="K18" s="132"/>
      <c r="L18" s="132"/>
      <c r="M18" s="132"/>
      <c r="N18" s="135"/>
    </row>
    <row r="19" spans="1:14" x14ac:dyDescent="0.2">
      <c r="A19" s="518"/>
      <c r="B19" s="528"/>
      <c r="C19" s="531"/>
      <c r="D19" s="532"/>
      <c r="E19" s="508">
        <v>2024</v>
      </c>
      <c r="F19" s="508">
        <v>2013</v>
      </c>
      <c r="G19" s="126"/>
      <c r="H19" s="126"/>
      <c r="I19" s="542"/>
      <c r="J19" s="132"/>
      <c r="K19" s="132"/>
      <c r="L19" s="132"/>
      <c r="M19" s="132"/>
      <c r="N19" s="135"/>
    </row>
    <row r="20" spans="1:14" x14ac:dyDescent="0.2">
      <c r="A20" s="518"/>
      <c r="B20" s="528"/>
      <c r="C20" s="531"/>
      <c r="D20" s="532"/>
      <c r="E20" s="508">
        <v>2025</v>
      </c>
      <c r="F20" s="508">
        <v>2013</v>
      </c>
      <c r="G20" s="126"/>
      <c r="H20" s="126"/>
      <c r="I20" s="542"/>
      <c r="J20" s="132"/>
      <c r="K20" s="132"/>
      <c r="L20" s="132"/>
      <c r="M20" s="132"/>
      <c r="N20" s="135"/>
    </row>
    <row r="21" spans="1:14" ht="24" customHeight="1" x14ac:dyDescent="0.2">
      <c r="A21" s="518"/>
      <c r="B21" s="528"/>
      <c r="C21" s="531"/>
      <c r="D21" s="532"/>
      <c r="E21" s="508">
        <v>2026</v>
      </c>
      <c r="F21" s="508">
        <v>2013</v>
      </c>
      <c r="G21" s="126"/>
      <c r="H21" s="126"/>
      <c r="I21" s="543"/>
      <c r="J21" s="132"/>
      <c r="K21" s="132"/>
      <c r="L21" s="132"/>
      <c r="M21" s="132"/>
      <c r="N21" s="135"/>
    </row>
    <row r="22" spans="1:14" ht="36" customHeight="1" x14ac:dyDescent="0.2">
      <c r="A22" s="517">
        <v>4</v>
      </c>
      <c r="B22" s="528"/>
      <c r="C22" s="533" t="s">
        <v>290</v>
      </c>
      <c r="D22" s="533" t="s">
        <v>291</v>
      </c>
      <c r="E22" s="508" t="s">
        <v>497</v>
      </c>
      <c r="F22" s="508"/>
      <c r="G22" s="199">
        <f>G23+G24+G25+G26</f>
        <v>0</v>
      </c>
      <c r="H22" s="199">
        <f>H23+H24+H25+H26</f>
        <v>0</v>
      </c>
      <c r="I22" s="544" t="s">
        <v>292</v>
      </c>
      <c r="J22" s="138" t="s">
        <v>293</v>
      </c>
      <c r="K22" s="132" t="s">
        <v>294</v>
      </c>
      <c r="L22" s="132"/>
      <c r="M22" s="200">
        <f>M23+M24+M25+M26</f>
        <v>0</v>
      </c>
      <c r="N22" s="200">
        <f>N23+N24+N25+N26</f>
        <v>0</v>
      </c>
    </row>
    <row r="23" spans="1:14" x14ac:dyDescent="0.2">
      <c r="A23" s="518"/>
      <c r="B23" s="528"/>
      <c r="C23" s="534"/>
      <c r="D23" s="535"/>
      <c r="E23" s="508">
        <v>2023</v>
      </c>
      <c r="F23" s="508">
        <v>2013</v>
      </c>
      <c r="G23" s="139"/>
      <c r="H23" s="140"/>
      <c r="I23" s="545"/>
      <c r="J23" s="126">
        <v>14000</v>
      </c>
      <c r="K23" s="126">
        <v>135300</v>
      </c>
      <c r="L23" s="126"/>
      <c r="M23" s="126"/>
      <c r="N23" s="126"/>
    </row>
    <row r="24" spans="1:14" x14ac:dyDescent="0.2">
      <c r="A24" s="518"/>
      <c r="B24" s="528"/>
      <c r="C24" s="534"/>
      <c r="D24" s="535"/>
      <c r="E24" s="508">
        <v>2024</v>
      </c>
      <c r="F24" s="508">
        <v>2013</v>
      </c>
      <c r="G24" s="139"/>
      <c r="H24" s="140"/>
      <c r="I24" s="545"/>
      <c r="J24" s="126">
        <v>14000</v>
      </c>
      <c r="K24" s="126">
        <v>135300</v>
      </c>
      <c r="L24" s="126"/>
      <c r="M24" s="126"/>
      <c r="N24" s="126"/>
    </row>
    <row r="25" spans="1:14" x14ac:dyDescent="0.2">
      <c r="A25" s="518"/>
      <c r="B25" s="528"/>
      <c r="C25" s="534"/>
      <c r="D25" s="535"/>
      <c r="E25" s="508">
        <v>2025</v>
      </c>
      <c r="F25" s="508">
        <v>2013</v>
      </c>
      <c r="G25" s="139"/>
      <c r="H25" s="139"/>
      <c r="I25" s="545"/>
      <c r="J25" s="126">
        <v>14050</v>
      </c>
      <c r="K25" s="126">
        <v>135300</v>
      </c>
      <c r="L25" s="126"/>
      <c r="M25" s="126"/>
      <c r="N25" s="126"/>
    </row>
    <row r="26" spans="1:14" ht="58.5" customHeight="1" x14ac:dyDescent="0.2">
      <c r="A26" s="518"/>
      <c r="B26" s="528"/>
      <c r="C26" s="534"/>
      <c r="D26" s="535"/>
      <c r="E26" s="508">
        <v>2026</v>
      </c>
      <c r="F26" s="508">
        <v>2013</v>
      </c>
      <c r="G26" s="139"/>
      <c r="H26" s="139"/>
      <c r="I26" s="546"/>
      <c r="J26" s="126">
        <v>14200</v>
      </c>
      <c r="K26" s="126">
        <v>14000</v>
      </c>
      <c r="L26" s="126"/>
      <c r="M26" s="126"/>
      <c r="N26" s="126"/>
    </row>
    <row r="27" spans="1:14" ht="73.5" customHeight="1" x14ac:dyDescent="0.2">
      <c r="A27" s="517">
        <v>5</v>
      </c>
      <c r="B27" s="528"/>
      <c r="C27" s="531" t="s">
        <v>295</v>
      </c>
      <c r="D27" s="531" t="s">
        <v>296</v>
      </c>
      <c r="E27" s="508" t="s">
        <v>497</v>
      </c>
      <c r="F27" s="508"/>
      <c r="G27" s="199">
        <f>G28+G29+G30+G31</f>
        <v>0</v>
      </c>
      <c r="H27" s="199">
        <f>H28+H29+H30+H31</f>
        <v>0</v>
      </c>
      <c r="I27" s="540" t="s">
        <v>297</v>
      </c>
      <c r="J27" s="126"/>
      <c r="K27" s="126"/>
      <c r="L27" s="126"/>
      <c r="M27" s="200">
        <f>M28+M29+M30+M31</f>
        <v>0</v>
      </c>
      <c r="N27" s="200">
        <f>N28+N29+N30+N31</f>
        <v>0</v>
      </c>
    </row>
    <row r="28" spans="1:14" ht="63.75" customHeight="1" x14ac:dyDescent="0.2">
      <c r="A28" s="518"/>
      <c r="B28" s="528"/>
      <c r="C28" s="531"/>
      <c r="D28" s="531"/>
      <c r="E28" s="508">
        <v>2023</v>
      </c>
      <c r="F28" s="508">
        <v>2013</v>
      </c>
      <c r="G28" s="137"/>
      <c r="H28" s="126"/>
      <c r="I28" s="542"/>
      <c r="J28" s="126"/>
      <c r="K28" s="126"/>
      <c r="L28" s="126"/>
      <c r="M28" s="126"/>
      <c r="N28" s="126"/>
    </row>
    <row r="29" spans="1:14" ht="30.75" customHeight="1" x14ac:dyDescent="0.2">
      <c r="A29" s="518"/>
      <c r="B29" s="528"/>
      <c r="C29" s="531"/>
      <c r="D29" s="531"/>
      <c r="E29" s="508">
        <v>2024</v>
      </c>
      <c r="F29" s="508">
        <v>2013</v>
      </c>
      <c r="G29" s="137"/>
      <c r="H29" s="126"/>
      <c r="I29" s="542"/>
      <c r="J29" s="126"/>
      <c r="K29" s="126"/>
      <c r="L29" s="126"/>
      <c r="M29" s="126"/>
      <c r="N29" s="126"/>
    </row>
    <row r="30" spans="1:14" ht="40.5" customHeight="1" x14ac:dyDescent="0.2">
      <c r="A30" s="518"/>
      <c r="B30" s="528"/>
      <c r="C30" s="531"/>
      <c r="D30" s="531"/>
      <c r="E30" s="508">
        <v>2025</v>
      </c>
      <c r="F30" s="508">
        <v>2013</v>
      </c>
      <c r="G30" s="137"/>
      <c r="H30" s="126"/>
      <c r="I30" s="542"/>
      <c r="J30" s="126"/>
      <c r="K30" s="126"/>
      <c r="L30" s="126"/>
      <c r="M30" s="126"/>
      <c r="N30" s="126"/>
    </row>
    <row r="31" spans="1:14" ht="51" customHeight="1" x14ac:dyDescent="0.2">
      <c r="A31" s="518"/>
      <c r="B31" s="528"/>
      <c r="C31" s="531"/>
      <c r="D31" s="531"/>
      <c r="E31" s="508">
        <v>2026</v>
      </c>
      <c r="F31" s="508">
        <v>2013</v>
      </c>
      <c r="G31" s="137"/>
      <c r="H31" s="126"/>
      <c r="I31" s="543"/>
      <c r="J31" s="126"/>
      <c r="K31" s="126"/>
      <c r="L31" s="126"/>
      <c r="M31" s="126"/>
      <c r="N31" s="126"/>
    </row>
    <row r="32" spans="1:14" ht="27.75" customHeight="1" x14ac:dyDescent="0.2">
      <c r="A32" s="536">
        <v>6</v>
      </c>
      <c r="B32" s="528"/>
      <c r="C32" s="514" t="s">
        <v>298</v>
      </c>
      <c r="D32" s="514" t="s">
        <v>299</v>
      </c>
      <c r="E32" s="508" t="s">
        <v>497</v>
      </c>
      <c r="F32" s="508"/>
      <c r="G32" s="199">
        <f>G33+G34+G35+G36</f>
        <v>0</v>
      </c>
      <c r="H32" s="199">
        <f>H33+H34+H35+H36</f>
        <v>0</v>
      </c>
      <c r="I32" s="123"/>
      <c r="J32" s="126"/>
      <c r="K32" s="126"/>
      <c r="L32" s="126"/>
      <c r="M32" s="200">
        <f>M33+M34+M35+M36</f>
        <v>0</v>
      </c>
      <c r="N32" s="200">
        <f>N33+N34+N35+N36</f>
        <v>0</v>
      </c>
    </row>
    <row r="33" spans="1:14" ht="21.75" customHeight="1" x14ac:dyDescent="0.2">
      <c r="A33" s="537"/>
      <c r="B33" s="528"/>
      <c r="C33" s="515"/>
      <c r="D33" s="515"/>
      <c r="E33" s="508">
        <v>2023</v>
      </c>
      <c r="F33" s="508">
        <v>2013</v>
      </c>
      <c r="G33" s="137"/>
      <c r="H33" s="126"/>
      <c r="I33" s="123"/>
      <c r="J33" s="126"/>
      <c r="K33" s="126"/>
      <c r="L33" s="126"/>
      <c r="M33" s="126"/>
      <c r="N33" s="126"/>
    </row>
    <row r="34" spans="1:14" ht="40.5" customHeight="1" x14ac:dyDescent="0.2">
      <c r="A34" s="537"/>
      <c r="B34" s="528"/>
      <c r="C34" s="515"/>
      <c r="D34" s="515"/>
      <c r="E34" s="508">
        <v>2024</v>
      </c>
      <c r="F34" s="508">
        <v>2013</v>
      </c>
      <c r="G34" s="137"/>
      <c r="H34" s="126"/>
      <c r="I34" s="540" t="s">
        <v>300</v>
      </c>
      <c r="J34" s="126"/>
      <c r="K34" s="126"/>
      <c r="L34" s="126"/>
      <c r="M34" s="126"/>
      <c r="N34" s="126"/>
    </row>
    <row r="35" spans="1:14" ht="40.5" customHeight="1" x14ac:dyDescent="0.2">
      <c r="A35" s="537"/>
      <c r="B35" s="528"/>
      <c r="C35" s="515"/>
      <c r="D35" s="515"/>
      <c r="E35" s="508">
        <v>2025</v>
      </c>
      <c r="F35" s="508">
        <v>2013</v>
      </c>
      <c r="G35" s="137"/>
      <c r="H35" s="126"/>
      <c r="I35" s="541"/>
      <c r="J35" s="126"/>
      <c r="K35" s="126"/>
      <c r="L35" s="126"/>
      <c r="M35" s="126"/>
      <c r="N35" s="126"/>
    </row>
    <row r="36" spans="1:14" ht="34.5" customHeight="1" x14ac:dyDescent="0.2">
      <c r="A36" s="538"/>
      <c r="B36" s="528"/>
      <c r="C36" s="516"/>
      <c r="D36" s="516"/>
      <c r="E36" s="508">
        <v>2026</v>
      </c>
      <c r="F36" s="508">
        <v>2013</v>
      </c>
      <c r="G36" s="126"/>
      <c r="H36" s="132"/>
      <c r="I36" s="123"/>
      <c r="J36" s="126"/>
      <c r="K36" s="126"/>
      <c r="L36" s="126"/>
      <c r="M36" s="126"/>
      <c r="N36" s="126"/>
    </row>
    <row r="37" spans="1:14" ht="37.5" customHeight="1" x14ac:dyDescent="0.2">
      <c r="A37" s="517">
        <v>7</v>
      </c>
      <c r="B37" s="528"/>
      <c r="C37" s="514" t="s">
        <v>301</v>
      </c>
      <c r="D37" s="514" t="s">
        <v>302</v>
      </c>
      <c r="E37" s="508" t="s">
        <v>497</v>
      </c>
      <c r="F37" s="508"/>
      <c r="G37" s="137"/>
      <c r="H37" s="132"/>
      <c r="I37" s="141"/>
      <c r="J37" s="126"/>
      <c r="K37" s="126"/>
      <c r="L37" s="126"/>
      <c r="M37" s="126"/>
      <c r="N37" s="126"/>
    </row>
    <row r="38" spans="1:14" ht="21.75" customHeight="1" x14ac:dyDescent="0.2">
      <c r="A38" s="518"/>
      <c r="B38" s="528"/>
      <c r="C38" s="515"/>
      <c r="D38" s="515"/>
      <c r="E38" s="508">
        <v>2023</v>
      </c>
      <c r="F38" s="508">
        <v>2013</v>
      </c>
      <c r="G38" s="137"/>
      <c r="H38" s="132"/>
      <c r="I38" s="141"/>
      <c r="J38" s="126"/>
      <c r="K38" s="126"/>
      <c r="L38" s="126"/>
      <c r="M38" s="126"/>
      <c r="N38" s="126"/>
    </row>
    <row r="39" spans="1:14" ht="40.5" customHeight="1" x14ac:dyDescent="0.2">
      <c r="A39" s="518"/>
      <c r="B39" s="528"/>
      <c r="C39" s="515"/>
      <c r="D39" s="515"/>
      <c r="E39" s="508">
        <v>2024</v>
      </c>
      <c r="F39" s="508">
        <v>2013</v>
      </c>
      <c r="G39" s="137"/>
      <c r="H39" s="132"/>
      <c r="I39" s="141" t="s">
        <v>303</v>
      </c>
      <c r="J39" s="126"/>
      <c r="K39" s="126"/>
      <c r="L39" s="126"/>
      <c r="M39" s="126"/>
      <c r="N39" s="126"/>
    </row>
    <row r="40" spans="1:14" ht="21.75" customHeight="1" x14ac:dyDescent="0.2">
      <c r="A40" s="518"/>
      <c r="B40" s="528"/>
      <c r="C40" s="515"/>
      <c r="D40" s="515"/>
      <c r="E40" s="508">
        <v>2025</v>
      </c>
      <c r="F40" s="508">
        <v>2013</v>
      </c>
      <c r="G40" s="137"/>
      <c r="H40" s="132"/>
      <c r="I40" s="141"/>
      <c r="J40" s="126"/>
      <c r="K40" s="126"/>
      <c r="L40" s="126"/>
      <c r="M40" s="126"/>
      <c r="N40" s="126"/>
    </row>
    <row r="41" spans="1:14" ht="21.75" customHeight="1" x14ac:dyDescent="0.2">
      <c r="A41" s="518"/>
      <c r="B41" s="528"/>
      <c r="C41" s="516"/>
      <c r="D41" s="516"/>
      <c r="E41" s="508">
        <v>2026</v>
      </c>
      <c r="F41" s="508">
        <v>2013</v>
      </c>
      <c r="G41" s="137"/>
      <c r="H41" s="132"/>
      <c r="I41" s="141"/>
      <c r="J41" s="126"/>
      <c r="K41" s="126"/>
      <c r="L41" s="126"/>
      <c r="M41" s="126"/>
      <c r="N41" s="126"/>
    </row>
    <row r="42" spans="1:14" ht="33.75" customHeight="1" x14ac:dyDescent="0.2">
      <c r="A42" s="517">
        <v>8</v>
      </c>
      <c r="B42" s="528"/>
      <c r="C42" s="514" t="s">
        <v>304</v>
      </c>
      <c r="D42" s="514" t="s">
        <v>305</v>
      </c>
      <c r="E42" s="508" t="s">
        <v>497</v>
      </c>
      <c r="F42" s="508"/>
      <c r="G42" s="199">
        <f>G43+G44+G45+G46</f>
        <v>0</v>
      </c>
      <c r="H42" s="199">
        <f>H43+H44+H45+H46</f>
        <v>0</v>
      </c>
      <c r="I42" s="514" t="s">
        <v>306</v>
      </c>
      <c r="J42" s="126"/>
      <c r="K42" s="126"/>
      <c r="L42" s="126"/>
      <c r="M42" s="200">
        <f>M43+M44+M45+M46</f>
        <v>0</v>
      </c>
      <c r="N42" s="200">
        <f>N43+N44+N45+N46</f>
        <v>0</v>
      </c>
    </row>
    <row r="43" spans="1:14" ht="21.75" customHeight="1" x14ac:dyDescent="0.2">
      <c r="A43" s="518"/>
      <c r="B43" s="528"/>
      <c r="C43" s="515"/>
      <c r="D43" s="515"/>
      <c r="E43" s="508">
        <v>2023</v>
      </c>
      <c r="F43" s="508">
        <v>2013</v>
      </c>
      <c r="G43" s="137"/>
      <c r="H43" s="132"/>
      <c r="I43" s="515"/>
      <c r="J43" s="126"/>
      <c r="K43" s="126"/>
      <c r="L43" s="126"/>
      <c r="M43" s="126"/>
      <c r="N43" s="126"/>
    </row>
    <row r="44" spans="1:14" ht="21.75" customHeight="1" x14ac:dyDescent="0.2">
      <c r="A44" s="518"/>
      <c r="B44" s="528"/>
      <c r="C44" s="515"/>
      <c r="D44" s="515"/>
      <c r="E44" s="508">
        <v>2024</v>
      </c>
      <c r="F44" s="508">
        <v>2013</v>
      </c>
      <c r="G44" s="137"/>
      <c r="H44" s="132"/>
      <c r="I44" s="515"/>
      <c r="J44" s="126"/>
      <c r="K44" s="126"/>
      <c r="L44" s="126"/>
      <c r="M44" s="126"/>
      <c r="N44" s="126"/>
    </row>
    <row r="45" spans="1:14" ht="21.75" customHeight="1" x14ac:dyDescent="0.2">
      <c r="A45" s="518"/>
      <c r="B45" s="528"/>
      <c r="C45" s="515"/>
      <c r="D45" s="515"/>
      <c r="E45" s="508">
        <v>2025</v>
      </c>
      <c r="F45" s="508">
        <v>2013</v>
      </c>
      <c r="G45" s="137"/>
      <c r="H45" s="132"/>
      <c r="I45" s="515"/>
      <c r="J45" s="126"/>
      <c r="K45" s="126"/>
      <c r="L45" s="126"/>
      <c r="M45" s="126"/>
      <c r="N45" s="126"/>
    </row>
    <row r="46" spans="1:14" ht="33" customHeight="1" x14ac:dyDescent="0.2">
      <c r="A46" s="518"/>
      <c r="B46" s="528"/>
      <c r="C46" s="516"/>
      <c r="D46" s="516"/>
      <c r="E46" s="508">
        <v>2026</v>
      </c>
      <c r="F46" s="508">
        <v>2013</v>
      </c>
      <c r="G46" s="137"/>
      <c r="H46" s="132"/>
      <c r="I46" s="516"/>
      <c r="J46" s="126"/>
      <c r="K46" s="126"/>
      <c r="L46" s="126"/>
      <c r="M46" s="126"/>
      <c r="N46" s="126"/>
    </row>
    <row r="47" spans="1:14" ht="33" customHeight="1" x14ac:dyDescent="0.2">
      <c r="A47" s="517">
        <v>9</v>
      </c>
      <c r="B47" s="528"/>
      <c r="C47" s="514" t="s">
        <v>307</v>
      </c>
      <c r="D47" s="514" t="s">
        <v>308</v>
      </c>
      <c r="E47" s="508" t="s">
        <v>497</v>
      </c>
      <c r="F47" s="508"/>
      <c r="G47" s="199">
        <f>G48+G49+G50+G51</f>
        <v>0</v>
      </c>
      <c r="H47" s="199">
        <f>H48+H49+H50+H51</f>
        <v>0</v>
      </c>
      <c r="I47" s="514" t="s">
        <v>309</v>
      </c>
      <c r="J47" s="126"/>
      <c r="K47" s="126"/>
      <c r="L47" s="126"/>
      <c r="M47" s="200">
        <f>M48+M49+M50+M51</f>
        <v>0</v>
      </c>
      <c r="N47" s="200">
        <f>N48+N49+N50+N51</f>
        <v>0</v>
      </c>
    </row>
    <row r="48" spans="1:14" ht="33" customHeight="1" x14ac:dyDescent="0.2">
      <c r="A48" s="518"/>
      <c r="B48" s="528"/>
      <c r="C48" s="515"/>
      <c r="D48" s="515"/>
      <c r="E48" s="508">
        <v>2023</v>
      </c>
      <c r="F48" s="508">
        <v>2013</v>
      </c>
      <c r="G48" s="137"/>
      <c r="H48" s="132"/>
      <c r="I48" s="515"/>
      <c r="J48" s="126"/>
      <c r="K48" s="126"/>
      <c r="L48" s="126"/>
      <c r="M48" s="126"/>
      <c r="N48" s="126"/>
    </row>
    <row r="49" spans="1:14" ht="33" customHeight="1" x14ac:dyDescent="0.2">
      <c r="A49" s="518"/>
      <c r="B49" s="528"/>
      <c r="C49" s="515"/>
      <c r="D49" s="515"/>
      <c r="E49" s="508">
        <v>2024</v>
      </c>
      <c r="F49" s="508">
        <v>2013</v>
      </c>
      <c r="G49" s="137"/>
      <c r="H49" s="132"/>
      <c r="I49" s="515"/>
      <c r="J49" s="126"/>
      <c r="K49" s="126"/>
      <c r="L49" s="126"/>
      <c r="M49" s="126"/>
      <c r="N49" s="126"/>
    </row>
    <row r="50" spans="1:14" ht="33" customHeight="1" x14ac:dyDescent="0.2">
      <c r="A50" s="518"/>
      <c r="B50" s="528"/>
      <c r="C50" s="515"/>
      <c r="D50" s="515"/>
      <c r="E50" s="508">
        <v>2025</v>
      </c>
      <c r="F50" s="508">
        <v>2013</v>
      </c>
      <c r="G50" s="137"/>
      <c r="H50" s="132"/>
      <c r="I50" s="515"/>
      <c r="J50" s="126"/>
      <c r="K50" s="126"/>
      <c r="L50" s="126"/>
      <c r="M50" s="126"/>
      <c r="N50" s="126"/>
    </row>
    <row r="51" spans="1:14" ht="33" customHeight="1" x14ac:dyDescent="0.2">
      <c r="A51" s="518"/>
      <c r="B51" s="528"/>
      <c r="C51" s="516"/>
      <c r="D51" s="516"/>
      <c r="E51" s="508">
        <v>2026</v>
      </c>
      <c r="F51" s="508">
        <v>2013</v>
      </c>
      <c r="G51" s="137"/>
      <c r="H51" s="132"/>
      <c r="I51" s="516"/>
      <c r="J51" s="126"/>
      <c r="K51" s="126"/>
      <c r="L51" s="126"/>
      <c r="M51" s="126"/>
      <c r="N51" s="126"/>
    </row>
    <row r="52" spans="1:14" ht="33" customHeight="1" x14ac:dyDescent="0.2">
      <c r="A52" s="517">
        <v>10</v>
      </c>
      <c r="B52" s="529"/>
      <c r="C52" s="514" t="s">
        <v>403</v>
      </c>
      <c r="D52" s="514" t="s">
        <v>404</v>
      </c>
      <c r="E52" s="508" t="s">
        <v>497</v>
      </c>
      <c r="F52" s="508"/>
      <c r="G52" s="199">
        <f>G53+G54+G55+G56</f>
        <v>0</v>
      </c>
      <c r="H52" s="199">
        <f>H53+H54+H55+H56</f>
        <v>0</v>
      </c>
      <c r="I52" s="514" t="s">
        <v>310</v>
      </c>
      <c r="J52" s="124"/>
      <c r="K52" s="126"/>
      <c r="L52" s="126"/>
      <c r="M52" s="200">
        <f>M53+M54+M55+M56</f>
        <v>0</v>
      </c>
      <c r="N52" s="200">
        <f>N53+N54+N55+N56</f>
        <v>0</v>
      </c>
    </row>
    <row r="53" spans="1:14" ht="33" customHeight="1" x14ac:dyDescent="0.2">
      <c r="A53" s="518"/>
      <c r="B53" s="529"/>
      <c r="C53" s="515"/>
      <c r="D53" s="515"/>
      <c r="E53" s="508">
        <v>2023</v>
      </c>
      <c r="F53" s="508">
        <v>2013</v>
      </c>
      <c r="G53" s="137"/>
      <c r="H53" s="132"/>
      <c r="I53" s="505"/>
      <c r="J53" s="124"/>
      <c r="K53" s="126"/>
      <c r="L53" s="126"/>
      <c r="M53" s="126"/>
      <c r="N53" s="126"/>
    </row>
    <row r="54" spans="1:14" ht="33" customHeight="1" x14ac:dyDescent="0.2">
      <c r="A54" s="518"/>
      <c r="B54" s="529"/>
      <c r="C54" s="515"/>
      <c r="D54" s="515"/>
      <c r="E54" s="508">
        <v>2024</v>
      </c>
      <c r="F54" s="508">
        <v>2013</v>
      </c>
      <c r="G54" s="137"/>
      <c r="H54" s="132"/>
      <c r="I54" s="505"/>
      <c r="J54" s="124"/>
      <c r="K54" s="126"/>
      <c r="L54" s="126"/>
      <c r="M54" s="126"/>
      <c r="N54" s="126"/>
    </row>
    <row r="55" spans="1:14" ht="33" customHeight="1" x14ac:dyDescent="0.2">
      <c r="A55" s="518"/>
      <c r="B55" s="529"/>
      <c r="C55" s="515"/>
      <c r="D55" s="515"/>
      <c r="E55" s="508">
        <v>2025</v>
      </c>
      <c r="F55" s="508">
        <v>2013</v>
      </c>
      <c r="G55" s="137"/>
      <c r="H55" s="132"/>
      <c r="I55" s="505"/>
      <c r="J55" s="124" t="s">
        <v>311</v>
      </c>
      <c r="K55" s="126"/>
      <c r="L55" s="126"/>
      <c r="M55" s="126"/>
      <c r="N55" s="126"/>
    </row>
    <row r="56" spans="1:14" ht="33" customHeight="1" x14ac:dyDescent="0.2">
      <c r="A56" s="518"/>
      <c r="B56" s="529"/>
      <c r="C56" s="516"/>
      <c r="D56" s="516"/>
      <c r="E56" s="508">
        <v>2026</v>
      </c>
      <c r="F56" s="508">
        <v>2013</v>
      </c>
      <c r="G56" s="137"/>
      <c r="H56" s="132"/>
      <c r="I56" s="506"/>
      <c r="J56" s="124"/>
      <c r="K56" s="126"/>
      <c r="L56" s="126"/>
      <c r="M56" s="126"/>
      <c r="N56" s="126"/>
    </row>
    <row r="57" spans="1:14" ht="33" customHeight="1" x14ac:dyDescent="0.2">
      <c r="A57" s="517">
        <v>11</v>
      </c>
      <c r="B57" s="529"/>
      <c r="C57" s="514" t="s">
        <v>312</v>
      </c>
      <c r="D57" s="521" t="s">
        <v>313</v>
      </c>
      <c r="E57" s="508" t="s">
        <v>497</v>
      </c>
      <c r="F57" s="508"/>
      <c r="G57" s="199">
        <f>G58+G59+G60+G61</f>
        <v>0</v>
      </c>
      <c r="H57" s="199">
        <f>H58+H59+H60+H61</f>
        <v>0</v>
      </c>
      <c r="I57" s="141"/>
      <c r="J57" s="126"/>
      <c r="K57" s="126"/>
      <c r="L57" s="126"/>
      <c r="M57" s="200">
        <f>M58+M59+M60+M61</f>
        <v>0</v>
      </c>
      <c r="N57" s="200">
        <f>N58+N59+N60+N61</f>
        <v>0</v>
      </c>
    </row>
    <row r="58" spans="1:14" ht="33" customHeight="1" x14ac:dyDescent="0.2">
      <c r="A58" s="518"/>
      <c r="B58" s="529"/>
      <c r="C58" s="515"/>
      <c r="D58" s="522"/>
      <c r="E58" s="508">
        <v>2023</v>
      </c>
      <c r="F58" s="508">
        <v>2013</v>
      </c>
      <c r="G58" s="137"/>
      <c r="H58" s="132"/>
      <c r="I58" s="20"/>
      <c r="J58" s="126"/>
      <c r="K58" s="126"/>
      <c r="L58" s="126"/>
      <c r="M58" s="126"/>
      <c r="N58" s="126"/>
    </row>
    <row r="59" spans="1:14" ht="48" customHeight="1" x14ac:dyDescent="0.2">
      <c r="A59" s="518"/>
      <c r="B59" s="529"/>
      <c r="C59" s="515"/>
      <c r="D59" s="522"/>
      <c r="E59" s="508">
        <v>2024</v>
      </c>
      <c r="F59" s="508">
        <v>2013</v>
      </c>
      <c r="G59" s="137"/>
      <c r="H59" s="132"/>
      <c r="I59" s="124"/>
      <c r="J59" s="141" t="s">
        <v>314</v>
      </c>
      <c r="K59" s="126"/>
      <c r="L59" s="126"/>
      <c r="M59" s="126"/>
      <c r="N59" s="126"/>
    </row>
    <row r="60" spans="1:14" ht="63.75" customHeight="1" x14ac:dyDescent="0.2">
      <c r="A60" s="518"/>
      <c r="B60" s="529"/>
      <c r="C60" s="515"/>
      <c r="D60" s="522"/>
      <c r="E60" s="508">
        <v>2025</v>
      </c>
      <c r="F60" s="508">
        <v>2013</v>
      </c>
      <c r="G60" s="137"/>
      <c r="H60" s="132"/>
      <c r="I60" s="124"/>
      <c r="J60" s="134"/>
      <c r="K60" s="134" t="s">
        <v>315</v>
      </c>
      <c r="L60" s="126"/>
      <c r="M60" s="126"/>
      <c r="N60" s="126"/>
    </row>
    <row r="61" spans="1:14" ht="49.5" customHeight="1" x14ac:dyDescent="0.2">
      <c r="A61" s="518"/>
      <c r="B61" s="529"/>
      <c r="C61" s="516"/>
      <c r="D61" s="523"/>
      <c r="E61" s="508">
        <v>2026</v>
      </c>
      <c r="F61" s="508">
        <v>2013</v>
      </c>
      <c r="G61" s="137"/>
      <c r="H61" s="132"/>
      <c r="I61" s="124"/>
      <c r="J61" s="126"/>
      <c r="K61" s="125"/>
      <c r="L61" s="134" t="s">
        <v>312</v>
      </c>
      <c r="M61" s="126"/>
      <c r="N61" s="126"/>
    </row>
    <row r="62" spans="1:14" ht="33" customHeight="1" x14ac:dyDescent="0.2">
      <c r="A62" s="517">
        <v>12</v>
      </c>
      <c r="B62" s="529"/>
      <c r="C62" s="514" t="s">
        <v>316</v>
      </c>
      <c r="D62" s="521" t="s">
        <v>405</v>
      </c>
      <c r="E62" s="508" t="s">
        <v>497</v>
      </c>
      <c r="F62" s="508"/>
      <c r="G62" s="199">
        <f>G63+G64+G65+G66</f>
        <v>0</v>
      </c>
      <c r="H62" s="199">
        <f>H63+H64+H65+H66</f>
        <v>0</v>
      </c>
      <c r="I62" s="141"/>
      <c r="J62" s="126"/>
      <c r="K62" s="126"/>
      <c r="L62" s="126"/>
      <c r="M62" s="200">
        <f>M63+M64+M65+M66</f>
        <v>0</v>
      </c>
      <c r="N62" s="200">
        <f>N63+N64+N65+N66</f>
        <v>0</v>
      </c>
    </row>
    <row r="63" spans="1:14" ht="75" customHeight="1" x14ac:dyDescent="0.2">
      <c r="A63" s="518"/>
      <c r="B63" s="529"/>
      <c r="C63" s="515"/>
      <c r="D63" s="522"/>
      <c r="E63" s="508">
        <v>2023</v>
      </c>
      <c r="F63" s="508">
        <v>2013</v>
      </c>
      <c r="G63" s="137"/>
      <c r="H63" s="132"/>
      <c r="I63" s="141" t="s">
        <v>317</v>
      </c>
      <c r="J63" s="124"/>
      <c r="K63" s="126"/>
      <c r="L63" s="126"/>
      <c r="M63" s="126"/>
      <c r="N63" s="126"/>
    </row>
    <row r="64" spans="1:14" ht="33" customHeight="1" x14ac:dyDescent="0.2">
      <c r="A64" s="518"/>
      <c r="B64" s="529"/>
      <c r="C64" s="515"/>
      <c r="D64" s="522"/>
      <c r="E64" s="508">
        <v>2024</v>
      </c>
      <c r="F64" s="508">
        <v>2013</v>
      </c>
      <c r="G64" s="137"/>
      <c r="H64" s="132"/>
      <c r="I64" s="124"/>
      <c r="J64" s="141" t="s">
        <v>314</v>
      </c>
      <c r="K64" s="126"/>
      <c r="L64" s="126"/>
      <c r="M64" s="126"/>
      <c r="N64" s="126"/>
    </row>
    <row r="65" spans="1:14" ht="64.5" customHeight="1" x14ac:dyDescent="0.2">
      <c r="A65" s="518"/>
      <c r="B65" s="529"/>
      <c r="C65" s="515"/>
      <c r="D65" s="522"/>
      <c r="E65" s="508">
        <v>2025</v>
      </c>
      <c r="F65" s="508">
        <v>2013</v>
      </c>
      <c r="G65" s="137"/>
      <c r="H65" s="132"/>
      <c r="I65" s="124"/>
      <c r="J65" s="124"/>
      <c r="K65" s="134" t="s">
        <v>315</v>
      </c>
      <c r="L65" s="142"/>
      <c r="M65" s="126"/>
      <c r="N65" s="126"/>
    </row>
    <row r="66" spans="1:14" ht="47.25" customHeight="1" x14ac:dyDescent="0.2">
      <c r="A66" s="518"/>
      <c r="B66" s="529"/>
      <c r="C66" s="516"/>
      <c r="D66" s="523"/>
      <c r="E66" s="508">
        <v>2026</v>
      </c>
      <c r="F66" s="508">
        <v>2013</v>
      </c>
      <c r="G66" s="137"/>
      <c r="H66" s="132"/>
      <c r="I66" s="124"/>
      <c r="J66" s="124"/>
      <c r="K66" s="127"/>
      <c r="L66" s="142" t="s">
        <v>316</v>
      </c>
      <c r="M66" s="126"/>
      <c r="N66" s="126"/>
    </row>
    <row r="67" spans="1:14" ht="39.75" customHeight="1" x14ac:dyDescent="0.2">
      <c r="A67" s="517">
        <v>13</v>
      </c>
      <c r="B67" s="529"/>
      <c r="C67" s="521" t="s">
        <v>318</v>
      </c>
      <c r="D67" s="521" t="s">
        <v>319</v>
      </c>
      <c r="E67" s="508" t="s">
        <v>497</v>
      </c>
      <c r="F67" s="508"/>
      <c r="G67" s="199">
        <f>G68+G69+G70+G71</f>
        <v>0</v>
      </c>
      <c r="H67" s="199">
        <f>H68+H69+H70+H71</f>
        <v>0</v>
      </c>
      <c r="I67" s="143"/>
      <c r="J67" s="143" t="s">
        <v>314</v>
      </c>
      <c r="K67" s="126"/>
      <c r="L67" s="126"/>
      <c r="M67" s="200">
        <f>M68+M69+M70+M71</f>
        <v>0</v>
      </c>
      <c r="N67" s="200">
        <f>N68+N69+N70+N71</f>
        <v>0</v>
      </c>
    </row>
    <row r="68" spans="1:14" ht="57.75" customHeight="1" x14ac:dyDescent="0.2">
      <c r="A68" s="518"/>
      <c r="B68" s="529"/>
      <c r="C68" s="522"/>
      <c r="D68" s="522"/>
      <c r="E68" s="508">
        <v>2023</v>
      </c>
      <c r="F68" s="508">
        <v>2013</v>
      </c>
      <c r="G68" s="140"/>
      <c r="H68" s="128"/>
      <c r="I68" s="128"/>
      <c r="J68" s="128"/>
      <c r="K68" s="126"/>
      <c r="L68" s="126"/>
      <c r="M68" s="126"/>
      <c r="N68" s="126"/>
    </row>
    <row r="69" spans="1:14" ht="33" customHeight="1" x14ac:dyDescent="0.2">
      <c r="A69" s="518"/>
      <c r="B69" s="529"/>
      <c r="C69" s="522"/>
      <c r="D69" s="522"/>
      <c r="E69" s="508">
        <v>2024</v>
      </c>
      <c r="F69" s="508">
        <v>2013</v>
      </c>
      <c r="G69" s="140"/>
      <c r="H69" s="128"/>
      <c r="I69" s="129"/>
      <c r="J69" s="129"/>
      <c r="K69" s="126"/>
      <c r="L69" s="126"/>
      <c r="M69" s="126"/>
      <c r="N69" s="126"/>
    </row>
    <row r="70" spans="1:14" ht="33" customHeight="1" x14ac:dyDescent="0.2">
      <c r="A70" s="518"/>
      <c r="B70" s="529"/>
      <c r="C70" s="522"/>
      <c r="D70" s="522"/>
      <c r="E70" s="508">
        <v>2025</v>
      </c>
      <c r="F70" s="508">
        <v>2013</v>
      </c>
      <c r="G70" s="140"/>
      <c r="H70" s="128"/>
      <c r="I70" s="129"/>
      <c r="J70" s="130"/>
      <c r="K70" s="126"/>
      <c r="L70" s="126"/>
      <c r="M70" s="126"/>
      <c r="N70" s="126"/>
    </row>
    <row r="71" spans="1:14" ht="33" customHeight="1" x14ac:dyDescent="0.2">
      <c r="A71" s="518"/>
      <c r="B71" s="529"/>
      <c r="C71" s="523"/>
      <c r="D71" s="523"/>
      <c r="E71" s="508">
        <v>2026</v>
      </c>
      <c r="F71" s="508">
        <v>2013</v>
      </c>
      <c r="G71" s="140"/>
      <c r="H71" s="128"/>
      <c r="I71" s="129"/>
      <c r="J71" s="130"/>
      <c r="K71" s="126"/>
      <c r="L71" s="126"/>
      <c r="M71" s="126"/>
      <c r="N71" s="126"/>
    </row>
    <row r="72" spans="1:14" ht="33" customHeight="1" x14ac:dyDescent="0.2">
      <c r="A72" s="517">
        <v>14</v>
      </c>
      <c r="B72" s="529"/>
      <c r="C72" s="514" t="s">
        <v>320</v>
      </c>
      <c r="D72" s="514" t="s">
        <v>321</v>
      </c>
      <c r="E72" s="508" t="s">
        <v>497</v>
      </c>
      <c r="F72" s="508"/>
      <c r="G72" s="199">
        <f>G73+G74+G75+G76</f>
        <v>0</v>
      </c>
      <c r="H72" s="199">
        <f>H73+H74+H75+H76</f>
        <v>0</v>
      </c>
      <c r="I72" s="124"/>
      <c r="J72" s="131"/>
      <c r="K72" s="126"/>
      <c r="L72" s="126"/>
      <c r="M72" s="200">
        <f>M73+M74+M75+M76</f>
        <v>0</v>
      </c>
      <c r="N72" s="200">
        <f>N73+N74+N75+N76</f>
        <v>0</v>
      </c>
    </row>
    <row r="73" spans="1:14" ht="192.75" customHeight="1" x14ac:dyDescent="0.2">
      <c r="A73" s="518"/>
      <c r="B73" s="529"/>
      <c r="C73" s="515"/>
      <c r="D73" s="515"/>
      <c r="E73" s="508">
        <v>2023</v>
      </c>
      <c r="F73" s="508">
        <v>2013</v>
      </c>
      <c r="G73" s="144"/>
      <c r="H73" s="132"/>
      <c r="I73" s="504" t="s">
        <v>322</v>
      </c>
      <c r="J73" s="514" t="s">
        <v>323</v>
      </c>
      <c r="K73" s="514" t="s">
        <v>324</v>
      </c>
      <c r="L73" s="126"/>
      <c r="M73" s="126"/>
      <c r="N73" s="126"/>
    </row>
    <row r="74" spans="1:14" ht="63.75" customHeight="1" x14ac:dyDescent="0.2">
      <c r="A74" s="518"/>
      <c r="B74" s="529"/>
      <c r="C74" s="515"/>
      <c r="D74" s="515"/>
      <c r="E74" s="508">
        <v>2024</v>
      </c>
      <c r="F74" s="508">
        <v>2013</v>
      </c>
      <c r="G74" s="137"/>
      <c r="H74" s="132"/>
      <c r="I74" s="505"/>
      <c r="J74" s="515"/>
      <c r="K74" s="505"/>
      <c r="L74" s="126"/>
      <c r="M74" s="126"/>
      <c r="N74" s="126"/>
    </row>
    <row r="75" spans="1:14" ht="243" customHeight="1" x14ac:dyDescent="0.2">
      <c r="A75" s="518"/>
      <c r="B75" s="529"/>
      <c r="C75" s="515"/>
      <c r="D75" s="515"/>
      <c r="E75" s="508">
        <v>2025</v>
      </c>
      <c r="F75" s="508">
        <v>2013</v>
      </c>
      <c r="G75" s="137"/>
      <c r="H75" s="132"/>
      <c r="I75" s="506"/>
      <c r="J75" s="516"/>
      <c r="K75" s="506"/>
      <c r="L75" s="126"/>
      <c r="M75" s="126"/>
      <c r="N75" s="126"/>
    </row>
    <row r="76" spans="1:14" ht="22.5" customHeight="1" x14ac:dyDescent="0.2">
      <c r="A76" s="518"/>
      <c r="B76" s="529"/>
      <c r="C76" s="516"/>
      <c r="D76" s="516"/>
      <c r="E76" s="508">
        <v>2026</v>
      </c>
      <c r="F76" s="508">
        <v>2013</v>
      </c>
      <c r="G76" s="137"/>
      <c r="H76" s="132"/>
      <c r="I76" s="124"/>
      <c r="J76" s="131"/>
      <c r="K76" s="126"/>
      <c r="L76" s="126"/>
      <c r="M76" s="126"/>
      <c r="N76" s="126"/>
    </row>
    <row r="77" spans="1:14" ht="28.5" customHeight="1" x14ac:dyDescent="0.2">
      <c r="A77" s="517">
        <v>15</v>
      </c>
      <c r="B77" s="529"/>
      <c r="C77" s="524" t="s">
        <v>325</v>
      </c>
      <c r="D77" s="514" t="s">
        <v>326</v>
      </c>
      <c r="E77" s="508" t="s">
        <v>497</v>
      </c>
      <c r="F77" s="508"/>
      <c r="G77" s="199">
        <f>G78+G79+G80+G81</f>
        <v>0</v>
      </c>
      <c r="H77" s="199">
        <f>H78+H79+H80+H81</f>
        <v>0</v>
      </c>
      <c r="I77" s="124"/>
      <c r="J77" s="131"/>
      <c r="K77" s="126"/>
      <c r="L77" s="126"/>
      <c r="M77" s="200">
        <f>M78+M79+M80+M81</f>
        <v>0</v>
      </c>
      <c r="N77" s="200">
        <f>N78+N79+N80+N81</f>
        <v>0</v>
      </c>
    </row>
    <row r="78" spans="1:14" ht="22.5" customHeight="1" x14ac:dyDescent="0.2">
      <c r="A78" s="518"/>
      <c r="B78" s="529"/>
      <c r="C78" s="525"/>
      <c r="D78" s="515"/>
      <c r="E78" s="508">
        <v>2023</v>
      </c>
      <c r="F78" s="508">
        <v>2013</v>
      </c>
      <c r="G78" s="137"/>
      <c r="H78" s="132"/>
      <c r="I78" s="124"/>
      <c r="J78" s="131"/>
      <c r="K78" s="126"/>
      <c r="L78" s="126"/>
      <c r="M78" s="126"/>
      <c r="N78" s="126"/>
    </row>
    <row r="79" spans="1:14" ht="22.5" customHeight="1" x14ac:dyDescent="0.2">
      <c r="A79" s="518"/>
      <c r="B79" s="529"/>
      <c r="C79" s="525"/>
      <c r="D79" s="515"/>
      <c r="E79" s="508">
        <v>2024</v>
      </c>
      <c r="F79" s="508">
        <v>2013</v>
      </c>
      <c r="G79" s="137"/>
      <c r="H79" s="132"/>
      <c r="I79" s="124"/>
      <c r="J79" s="131"/>
      <c r="K79" s="126"/>
      <c r="L79" s="126"/>
      <c r="M79" s="126"/>
      <c r="N79" s="126"/>
    </row>
    <row r="80" spans="1:14" ht="22.5" customHeight="1" x14ac:dyDescent="0.2">
      <c r="A80" s="518"/>
      <c r="B80" s="529"/>
      <c r="C80" s="525"/>
      <c r="D80" s="515"/>
      <c r="E80" s="508">
        <v>2025</v>
      </c>
      <c r="F80" s="508">
        <v>2013</v>
      </c>
      <c r="G80" s="137"/>
      <c r="H80" s="132"/>
      <c r="I80" s="124"/>
      <c r="J80" s="131"/>
      <c r="K80" s="126"/>
      <c r="L80" s="126"/>
      <c r="M80" s="126"/>
      <c r="N80" s="126"/>
    </row>
    <row r="81" spans="1:14" ht="22.5" customHeight="1" x14ac:dyDescent="0.2">
      <c r="A81" s="518"/>
      <c r="B81" s="529"/>
      <c r="C81" s="526"/>
      <c r="D81" s="516"/>
      <c r="E81" s="508">
        <v>2026</v>
      </c>
      <c r="F81" s="508">
        <v>2013</v>
      </c>
      <c r="G81" s="137"/>
      <c r="H81" s="132"/>
      <c r="I81" s="124"/>
      <c r="J81" s="131"/>
      <c r="K81" s="126"/>
      <c r="L81" s="126"/>
      <c r="M81" s="126"/>
      <c r="N81" s="126"/>
    </row>
    <row r="82" spans="1:14" ht="48.75" customHeight="1" x14ac:dyDescent="0.2">
      <c r="A82" s="517">
        <v>16</v>
      </c>
      <c r="B82" s="529"/>
      <c r="C82" s="521" t="s">
        <v>327</v>
      </c>
      <c r="D82" s="514" t="s">
        <v>328</v>
      </c>
      <c r="E82" s="508" t="s">
        <v>497</v>
      </c>
      <c r="F82" s="508"/>
      <c r="G82" s="199">
        <f>G83+G84+G85+G86</f>
        <v>0</v>
      </c>
      <c r="H82" s="199">
        <f>H83+H84+H85+H86</f>
        <v>0</v>
      </c>
      <c r="I82" s="124"/>
      <c r="J82" s="131"/>
      <c r="K82" s="126"/>
      <c r="L82" s="126"/>
      <c r="M82" s="200">
        <f>M83+M84+M85+M86</f>
        <v>0</v>
      </c>
      <c r="N82" s="200">
        <f>N83+N84+N85+N86</f>
        <v>0</v>
      </c>
    </row>
    <row r="83" spans="1:14" ht="39" customHeight="1" x14ac:dyDescent="0.2">
      <c r="A83" s="518"/>
      <c r="B83" s="529"/>
      <c r="C83" s="522"/>
      <c r="D83" s="515"/>
      <c r="E83" s="508">
        <v>2023</v>
      </c>
      <c r="F83" s="508">
        <v>2013</v>
      </c>
      <c r="G83" s="137"/>
      <c r="H83" s="132"/>
      <c r="I83" s="145" t="s">
        <v>406</v>
      </c>
      <c r="J83" s="131"/>
      <c r="K83" s="126"/>
      <c r="L83" s="126"/>
      <c r="M83" s="126"/>
      <c r="N83" s="126"/>
    </row>
    <row r="84" spans="1:14" ht="45" customHeight="1" x14ac:dyDescent="0.2">
      <c r="A84" s="518"/>
      <c r="B84" s="529"/>
      <c r="C84" s="522"/>
      <c r="D84" s="515"/>
      <c r="E84" s="508">
        <v>2024</v>
      </c>
      <c r="F84" s="508">
        <v>2013</v>
      </c>
      <c r="G84" s="137"/>
      <c r="H84" s="132"/>
      <c r="I84" s="132"/>
      <c r="J84" s="123" t="s">
        <v>407</v>
      </c>
      <c r="K84" s="126"/>
      <c r="L84" s="126"/>
      <c r="M84" s="126"/>
      <c r="N84" s="126"/>
    </row>
    <row r="85" spans="1:14" ht="36.75" customHeight="1" x14ac:dyDescent="0.2">
      <c r="A85" s="518"/>
      <c r="B85" s="529"/>
      <c r="C85" s="522"/>
      <c r="D85" s="515"/>
      <c r="E85" s="508">
        <v>2025</v>
      </c>
      <c r="F85" s="508">
        <v>2013</v>
      </c>
      <c r="G85" s="137"/>
      <c r="H85" s="132"/>
      <c r="I85" s="123"/>
      <c r="J85" s="131"/>
      <c r="K85" s="146" t="s">
        <v>408</v>
      </c>
      <c r="L85" s="126"/>
      <c r="M85" s="126"/>
      <c r="N85" s="126"/>
    </row>
    <row r="86" spans="1:14" ht="27.75" customHeight="1" x14ac:dyDescent="0.2">
      <c r="A86" s="518"/>
      <c r="B86" s="529"/>
      <c r="C86" s="523"/>
      <c r="D86" s="516"/>
      <c r="E86" s="508">
        <v>2026</v>
      </c>
      <c r="F86" s="508">
        <v>2013</v>
      </c>
      <c r="G86" s="137"/>
      <c r="H86" s="132"/>
      <c r="I86" s="123"/>
      <c r="J86" s="131"/>
      <c r="K86" s="126"/>
      <c r="L86" s="146"/>
      <c r="M86" s="126"/>
      <c r="N86" s="126"/>
    </row>
    <row r="87" spans="1:14" ht="35.25" customHeight="1" x14ac:dyDescent="0.2">
      <c r="A87" s="517">
        <v>17</v>
      </c>
      <c r="B87" s="529"/>
      <c r="C87" s="514" t="s">
        <v>329</v>
      </c>
      <c r="D87" s="514" t="s">
        <v>330</v>
      </c>
      <c r="E87" s="508" t="s">
        <v>497</v>
      </c>
      <c r="F87" s="508"/>
      <c r="G87" s="199">
        <f>G88+G89+G90+G91</f>
        <v>0</v>
      </c>
      <c r="H87" s="199">
        <f>H88+H89+H90+H91</f>
        <v>0</v>
      </c>
      <c r="I87" s="124"/>
      <c r="J87" s="131"/>
      <c r="K87" s="126"/>
      <c r="L87" s="126"/>
      <c r="M87" s="200">
        <f>M88+M89+M90+M91</f>
        <v>0</v>
      </c>
      <c r="N87" s="200">
        <f>N88+N89+N90+N91</f>
        <v>0</v>
      </c>
    </row>
    <row r="88" spans="1:14" ht="132.75" customHeight="1" x14ac:dyDescent="0.2">
      <c r="A88" s="518"/>
      <c r="B88" s="529"/>
      <c r="C88" s="515"/>
      <c r="D88" s="515"/>
      <c r="E88" s="508">
        <v>2023</v>
      </c>
      <c r="F88" s="508">
        <v>2013</v>
      </c>
      <c r="G88" s="144"/>
      <c r="H88" s="132"/>
      <c r="I88" s="141" t="s">
        <v>409</v>
      </c>
      <c r="J88" s="519" t="s">
        <v>410</v>
      </c>
      <c r="K88" s="520"/>
      <c r="L88" s="147"/>
      <c r="M88" s="126"/>
      <c r="N88" s="135"/>
    </row>
    <row r="89" spans="1:14" ht="58.5" customHeight="1" x14ac:dyDescent="0.2">
      <c r="A89" s="518"/>
      <c r="B89" s="529"/>
      <c r="C89" s="515"/>
      <c r="D89" s="515"/>
      <c r="E89" s="508">
        <v>2024</v>
      </c>
      <c r="F89" s="508">
        <v>2013</v>
      </c>
      <c r="G89" s="137"/>
      <c r="H89" s="132"/>
      <c r="I89" s="141" t="s">
        <v>331</v>
      </c>
      <c r="J89" s="131"/>
      <c r="K89" s="126"/>
      <c r="L89" s="126"/>
      <c r="M89" s="126"/>
      <c r="N89" s="126"/>
    </row>
    <row r="90" spans="1:14" ht="52.5" customHeight="1" x14ac:dyDescent="0.2">
      <c r="A90" s="518"/>
      <c r="B90" s="529"/>
      <c r="C90" s="515"/>
      <c r="D90" s="515"/>
      <c r="E90" s="508">
        <v>2025</v>
      </c>
      <c r="F90" s="508">
        <v>2013</v>
      </c>
      <c r="G90" s="137"/>
      <c r="H90" s="132"/>
      <c r="I90" s="141" t="s">
        <v>331</v>
      </c>
      <c r="J90" s="131"/>
      <c r="K90" s="126"/>
      <c r="L90" s="126"/>
      <c r="M90" s="126"/>
      <c r="N90" s="126"/>
    </row>
    <row r="91" spans="1:14" ht="51" customHeight="1" x14ac:dyDescent="0.2">
      <c r="A91" s="518"/>
      <c r="B91" s="529"/>
      <c r="C91" s="516"/>
      <c r="D91" s="516"/>
      <c r="E91" s="508">
        <v>2026</v>
      </c>
      <c r="F91" s="508">
        <v>2013</v>
      </c>
      <c r="G91" s="137"/>
      <c r="H91" s="132"/>
      <c r="I91" s="141" t="s">
        <v>331</v>
      </c>
      <c r="J91" s="131"/>
      <c r="K91" s="126"/>
      <c r="L91" s="126"/>
      <c r="M91" s="126"/>
      <c r="N91" s="126"/>
    </row>
    <row r="92" spans="1:14" ht="35.25" customHeight="1" x14ac:dyDescent="0.2">
      <c r="A92" s="517">
        <v>18</v>
      </c>
      <c r="B92" s="529"/>
      <c r="C92" s="514" t="s">
        <v>332</v>
      </c>
      <c r="D92" s="514" t="s">
        <v>333</v>
      </c>
      <c r="E92" s="508" t="s">
        <v>497</v>
      </c>
      <c r="F92" s="508"/>
      <c r="G92" s="199">
        <f>G93+G94+G95+G96</f>
        <v>0</v>
      </c>
      <c r="H92" s="199">
        <f>H93+H94+H95+H96</f>
        <v>0</v>
      </c>
      <c r="I92" s="124"/>
      <c r="J92" s="131"/>
      <c r="K92" s="126"/>
      <c r="L92" s="126"/>
      <c r="M92" s="200">
        <f>M93+M94+M95+M96</f>
        <v>0</v>
      </c>
      <c r="N92" s="200">
        <f>N93+N94+N95+N96</f>
        <v>0</v>
      </c>
    </row>
    <row r="93" spans="1:14" ht="20.25" customHeight="1" x14ac:dyDescent="0.2">
      <c r="A93" s="518"/>
      <c r="B93" s="529"/>
      <c r="C93" s="515"/>
      <c r="D93" s="515"/>
      <c r="E93" s="508">
        <v>2023</v>
      </c>
      <c r="F93" s="508">
        <v>2013</v>
      </c>
      <c r="G93" s="137"/>
      <c r="H93" s="132"/>
      <c r="I93" s="141"/>
      <c r="J93" s="121"/>
      <c r="K93" s="126"/>
      <c r="L93" s="126"/>
      <c r="M93" s="126"/>
      <c r="N93" s="126"/>
    </row>
    <row r="94" spans="1:14" ht="35.25" customHeight="1" x14ac:dyDescent="0.2">
      <c r="A94" s="518"/>
      <c r="B94" s="529"/>
      <c r="C94" s="515"/>
      <c r="D94" s="515"/>
      <c r="E94" s="508">
        <v>2024</v>
      </c>
      <c r="F94" s="508">
        <v>2013</v>
      </c>
      <c r="G94" s="137"/>
      <c r="H94" s="132"/>
      <c r="I94" s="124"/>
      <c r="J94" s="131"/>
      <c r="K94" s="126"/>
      <c r="L94" s="126"/>
      <c r="M94" s="126"/>
      <c r="N94" s="126"/>
    </row>
    <row r="95" spans="1:14" ht="35.25" customHeight="1" x14ac:dyDescent="0.2">
      <c r="A95" s="518"/>
      <c r="B95" s="529"/>
      <c r="C95" s="515"/>
      <c r="D95" s="515"/>
      <c r="E95" s="508">
        <v>2025</v>
      </c>
      <c r="F95" s="508">
        <v>2013</v>
      </c>
      <c r="G95" s="137"/>
      <c r="H95" s="132"/>
      <c r="I95" s="124"/>
      <c r="J95" s="131"/>
      <c r="K95" s="126"/>
      <c r="L95" s="126"/>
      <c r="M95" s="126"/>
      <c r="N95" s="126"/>
    </row>
    <row r="96" spans="1:14" ht="35.25" customHeight="1" x14ac:dyDescent="0.2">
      <c r="A96" s="518"/>
      <c r="B96" s="529"/>
      <c r="C96" s="516"/>
      <c r="D96" s="516"/>
      <c r="E96" s="508">
        <v>2026</v>
      </c>
      <c r="F96" s="508">
        <v>2013</v>
      </c>
      <c r="G96" s="137"/>
      <c r="H96" s="132"/>
      <c r="I96" s="124"/>
      <c r="J96" s="131"/>
      <c r="K96" s="126"/>
      <c r="L96" s="126"/>
      <c r="M96" s="126"/>
      <c r="N96" s="126"/>
    </row>
    <row r="97" spans="1:14" ht="35.25" customHeight="1" x14ac:dyDescent="0.2">
      <c r="A97" s="517">
        <v>19</v>
      </c>
      <c r="B97" s="529"/>
      <c r="C97" s="514" t="s">
        <v>334</v>
      </c>
      <c r="D97" s="514" t="s">
        <v>333</v>
      </c>
      <c r="E97" s="508" t="s">
        <v>497</v>
      </c>
      <c r="F97" s="508"/>
      <c r="G97" s="199">
        <f>G98+G99+G100+G101</f>
        <v>0</v>
      </c>
      <c r="H97" s="199">
        <f>H98+H99+H100+H101</f>
        <v>0</v>
      </c>
      <c r="I97" s="124"/>
      <c r="J97" s="131"/>
      <c r="K97" s="126"/>
      <c r="L97" s="126"/>
      <c r="M97" s="200">
        <f>M98+M99+M100+M101</f>
        <v>0</v>
      </c>
      <c r="N97" s="200">
        <f>N98+N99+N100+N101</f>
        <v>0</v>
      </c>
    </row>
    <row r="98" spans="1:14" ht="156.75" customHeight="1" x14ac:dyDescent="0.2">
      <c r="A98" s="518"/>
      <c r="B98" s="529"/>
      <c r="C98" s="515"/>
      <c r="D98" s="515"/>
      <c r="E98" s="508">
        <v>2023</v>
      </c>
      <c r="F98" s="508">
        <v>2013</v>
      </c>
      <c r="G98" s="137"/>
      <c r="H98" s="132"/>
      <c r="I98" s="141" t="s">
        <v>411</v>
      </c>
      <c r="J98" s="121" t="s">
        <v>335</v>
      </c>
      <c r="K98" s="126"/>
      <c r="L98" s="126"/>
      <c r="M98" s="126"/>
      <c r="N98" s="126"/>
    </row>
    <row r="99" spans="1:14" ht="35.25" customHeight="1" x14ac:dyDescent="0.2">
      <c r="A99" s="518"/>
      <c r="B99" s="529"/>
      <c r="C99" s="515"/>
      <c r="D99" s="515"/>
      <c r="E99" s="508">
        <v>2024</v>
      </c>
      <c r="F99" s="508">
        <v>2013</v>
      </c>
      <c r="G99" s="137"/>
      <c r="H99" s="132"/>
      <c r="I99" s="124"/>
      <c r="J99" s="131"/>
      <c r="K99" s="126"/>
      <c r="L99" s="126"/>
      <c r="M99" s="126"/>
      <c r="N99" s="126"/>
    </row>
    <row r="100" spans="1:14" ht="35.25" customHeight="1" x14ac:dyDescent="0.2">
      <c r="A100" s="518"/>
      <c r="B100" s="529"/>
      <c r="C100" s="515"/>
      <c r="D100" s="515"/>
      <c r="E100" s="508">
        <v>2025</v>
      </c>
      <c r="F100" s="508">
        <v>2013</v>
      </c>
      <c r="G100" s="137"/>
      <c r="H100" s="132"/>
      <c r="I100" s="124"/>
      <c r="J100" s="131"/>
      <c r="K100" s="126"/>
      <c r="L100" s="126"/>
      <c r="M100" s="126"/>
      <c r="N100" s="126"/>
    </row>
    <row r="101" spans="1:14" ht="35.25" customHeight="1" x14ac:dyDescent="0.2">
      <c r="A101" s="518"/>
      <c r="B101" s="529"/>
      <c r="C101" s="516"/>
      <c r="D101" s="516"/>
      <c r="E101" s="508">
        <v>2026</v>
      </c>
      <c r="F101" s="508">
        <v>2013</v>
      </c>
      <c r="G101" s="137"/>
      <c r="H101" s="132"/>
      <c r="I101" s="124"/>
      <c r="J101" s="131"/>
      <c r="K101" s="126"/>
      <c r="L101" s="126"/>
      <c r="M101" s="126"/>
      <c r="N101" s="126"/>
    </row>
    <row r="102" spans="1:14" ht="35.25" customHeight="1" x14ac:dyDescent="0.2">
      <c r="A102" s="517">
        <v>20</v>
      </c>
      <c r="B102" s="529"/>
      <c r="C102" s="514" t="s">
        <v>336</v>
      </c>
      <c r="D102" s="514" t="s">
        <v>412</v>
      </c>
      <c r="E102" s="508" t="s">
        <v>497</v>
      </c>
      <c r="F102" s="508"/>
      <c r="G102" s="199">
        <f>G103+G104+G105+G106</f>
        <v>0</v>
      </c>
      <c r="H102" s="199">
        <f>H103+H104+H105+H106</f>
        <v>0</v>
      </c>
      <c r="I102" s="124"/>
      <c r="J102" s="131"/>
      <c r="K102" s="126"/>
      <c r="L102" s="126"/>
      <c r="M102" s="200">
        <f>M103+M104+M105+M106</f>
        <v>0</v>
      </c>
      <c r="N102" s="200">
        <f>N103+N104+N105+N106</f>
        <v>0</v>
      </c>
    </row>
    <row r="103" spans="1:14" ht="35.25" customHeight="1" x14ac:dyDescent="0.2">
      <c r="A103" s="518"/>
      <c r="B103" s="529"/>
      <c r="C103" s="515"/>
      <c r="D103" s="515"/>
      <c r="E103" s="508">
        <v>2023</v>
      </c>
      <c r="F103" s="508">
        <v>2013</v>
      </c>
      <c r="G103" s="137"/>
      <c r="H103" s="20"/>
      <c r="I103" s="132" t="s">
        <v>314</v>
      </c>
      <c r="J103" s="131"/>
      <c r="K103" s="126"/>
      <c r="L103" s="126"/>
      <c r="M103" s="126"/>
      <c r="N103" s="126"/>
    </row>
    <row r="104" spans="1:14" ht="58.5" customHeight="1" x14ac:dyDescent="0.2">
      <c r="A104" s="518"/>
      <c r="B104" s="529"/>
      <c r="C104" s="515"/>
      <c r="D104" s="515"/>
      <c r="E104" s="508">
        <v>2024</v>
      </c>
      <c r="F104" s="508">
        <v>2013</v>
      </c>
      <c r="G104" s="137"/>
      <c r="H104" s="132"/>
      <c r="I104" s="124"/>
      <c r="J104" s="131"/>
      <c r="K104" s="126"/>
      <c r="L104" s="126"/>
      <c r="M104" s="126"/>
      <c r="N104" s="126"/>
    </row>
    <row r="105" spans="1:14" ht="35.25" customHeight="1" x14ac:dyDescent="0.2">
      <c r="A105" s="518"/>
      <c r="B105" s="529"/>
      <c r="C105" s="515"/>
      <c r="D105" s="515"/>
      <c r="E105" s="508">
        <v>2025</v>
      </c>
      <c r="F105" s="508">
        <v>2013</v>
      </c>
      <c r="G105" s="137"/>
      <c r="H105" s="132"/>
      <c r="I105" s="124"/>
      <c r="J105" s="131"/>
      <c r="K105" s="126"/>
      <c r="L105" s="126"/>
      <c r="M105" s="126"/>
      <c r="N105" s="126"/>
    </row>
    <row r="106" spans="1:14" ht="33" customHeight="1" x14ac:dyDescent="0.2">
      <c r="A106" s="518"/>
      <c r="B106" s="529"/>
      <c r="C106" s="516"/>
      <c r="D106" s="516"/>
      <c r="E106" s="508">
        <v>2026</v>
      </c>
      <c r="F106" s="508">
        <v>2013</v>
      </c>
      <c r="G106" s="137"/>
      <c r="H106" s="132"/>
      <c r="I106" s="124"/>
      <c r="J106" s="131"/>
      <c r="K106" s="126"/>
      <c r="L106" s="126"/>
      <c r="M106" s="126"/>
      <c r="N106" s="126"/>
    </row>
    <row r="107" spans="1:14" ht="33" customHeight="1" x14ac:dyDescent="0.2">
      <c r="A107" s="517">
        <v>21</v>
      </c>
      <c r="B107" s="529"/>
      <c r="C107" s="514" t="s">
        <v>337</v>
      </c>
      <c r="D107" s="514" t="s">
        <v>413</v>
      </c>
      <c r="E107" s="508" t="s">
        <v>497</v>
      </c>
      <c r="F107" s="508"/>
      <c r="G107" s="199">
        <f>G108+G109+G110+G111</f>
        <v>0</v>
      </c>
      <c r="H107" s="199">
        <f>H108+H109+H110+H111</f>
        <v>0</v>
      </c>
      <c r="I107" s="124"/>
      <c r="J107" s="131"/>
      <c r="K107" s="126"/>
      <c r="L107" s="126"/>
      <c r="M107" s="200">
        <f>M108+M109+M110+M111</f>
        <v>0</v>
      </c>
      <c r="N107" s="200">
        <f>N108+N109+N110+N111</f>
        <v>0</v>
      </c>
    </row>
    <row r="108" spans="1:14" ht="31.5" customHeight="1" x14ac:dyDescent="0.2">
      <c r="A108" s="518"/>
      <c r="B108" s="529"/>
      <c r="C108" s="515"/>
      <c r="D108" s="515"/>
      <c r="E108" s="508">
        <v>2023</v>
      </c>
      <c r="F108" s="508">
        <v>2013</v>
      </c>
      <c r="G108" s="148"/>
      <c r="H108" s="132"/>
      <c r="I108" s="129" t="s">
        <v>338</v>
      </c>
      <c r="J108" s="124" t="s">
        <v>339</v>
      </c>
      <c r="K108" s="126"/>
      <c r="L108" s="126"/>
      <c r="M108" s="126"/>
      <c r="N108" s="126"/>
    </row>
    <row r="109" spans="1:14" ht="35.25" customHeight="1" x14ac:dyDescent="0.2">
      <c r="A109" s="518"/>
      <c r="B109" s="529"/>
      <c r="C109" s="515"/>
      <c r="D109" s="515"/>
      <c r="E109" s="508">
        <v>2024</v>
      </c>
      <c r="F109" s="508">
        <v>2013</v>
      </c>
      <c r="G109" s="149"/>
      <c r="H109" s="132"/>
      <c r="I109" s="130"/>
      <c r="J109" s="131"/>
      <c r="K109" s="126"/>
      <c r="L109" s="126"/>
      <c r="M109" s="126"/>
      <c r="N109" s="126"/>
    </row>
    <row r="110" spans="1:14" ht="28.5" customHeight="1" x14ac:dyDescent="0.2">
      <c r="A110" s="518"/>
      <c r="B110" s="529"/>
      <c r="C110" s="515"/>
      <c r="D110" s="515"/>
      <c r="E110" s="508">
        <v>2025</v>
      </c>
      <c r="F110" s="508">
        <v>2013</v>
      </c>
      <c r="G110" s="148"/>
      <c r="H110" s="132"/>
      <c r="I110" s="124"/>
      <c r="J110" s="132"/>
      <c r="K110" s="126"/>
      <c r="L110" s="126"/>
      <c r="M110" s="126"/>
      <c r="N110" s="126"/>
    </row>
    <row r="111" spans="1:14" ht="39" customHeight="1" x14ac:dyDescent="0.2">
      <c r="A111" s="518"/>
      <c r="B111" s="529"/>
      <c r="C111" s="516"/>
      <c r="D111" s="516"/>
      <c r="E111" s="508">
        <v>2026</v>
      </c>
      <c r="F111" s="508">
        <v>2013</v>
      </c>
      <c r="G111" s="137"/>
      <c r="H111" s="132"/>
      <c r="I111" s="124"/>
      <c r="J111" s="131"/>
      <c r="K111" s="126"/>
      <c r="L111" s="126"/>
      <c r="M111" s="126"/>
      <c r="N111" s="126"/>
    </row>
    <row r="112" spans="1:14" ht="39" customHeight="1" x14ac:dyDescent="0.2">
      <c r="A112" s="517">
        <v>22</v>
      </c>
      <c r="B112" s="529"/>
      <c r="C112" s="514" t="s">
        <v>340</v>
      </c>
      <c r="D112" s="514" t="s">
        <v>414</v>
      </c>
      <c r="E112" s="508" t="s">
        <v>497</v>
      </c>
      <c r="F112" s="508"/>
      <c r="G112" s="199">
        <f>G113+G114+G115+G116</f>
        <v>0</v>
      </c>
      <c r="H112" s="199">
        <f>H113+H114+H115+H116</f>
        <v>0</v>
      </c>
      <c r="I112" s="124"/>
      <c r="J112" s="131"/>
      <c r="K112" s="126"/>
      <c r="L112" s="126"/>
      <c r="M112" s="200">
        <f>M113+M114+M115+M116</f>
        <v>0</v>
      </c>
      <c r="N112" s="200">
        <f>N113+N114+N115+N116</f>
        <v>0</v>
      </c>
    </row>
    <row r="113" spans="1:14" ht="39" customHeight="1" x14ac:dyDescent="0.2">
      <c r="A113" s="518"/>
      <c r="B113" s="529"/>
      <c r="C113" s="515"/>
      <c r="D113" s="515"/>
      <c r="E113" s="508">
        <v>2023</v>
      </c>
      <c r="F113" s="508">
        <v>2013</v>
      </c>
      <c r="G113" s="137"/>
      <c r="H113" s="132"/>
      <c r="I113" s="124" t="s">
        <v>339</v>
      </c>
      <c r="J113" s="131"/>
      <c r="K113" s="126"/>
      <c r="L113" s="126"/>
      <c r="M113" s="126"/>
      <c r="N113" s="126"/>
    </row>
    <row r="114" spans="1:14" ht="39" customHeight="1" x14ac:dyDescent="0.2">
      <c r="A114" s="518"/>
      <c r="B114" s="529"/>
      <c r="C114" s="515"/>
      <c r="D114" s="515"/>
      <c r="E114" s="508">
        <v>2024</v>
      </c>
      <c r="F114" s="508">
        <v>2013</v>
      </c>
      <c r="G114" s="137"/>
      <c r="H114" s="132"/>
      <c r="I114" s="124"/>
      <c r="J114" s="131"/>
      <c r="K114" s="126"/>
      <c r="L114" s="126"/>
      <c r="M114" s="126"/>
      <c r="N114" s="126"/>
    </row>
    <row r="115" spans="1:14" ht="39" customHeight="1" x14ac:dyDescent="0.2">
      <c r="A115" s="518"/>
      <c r="B115" s="529"/>
      <c r="C115" s="515"/>
      <c r="D115" s="515"/>
      <c r="E115" s="508">
        <v>2025</v>
      </c>
      <c r="F115" s="508">
        <v>2013</v>
      </c>
      <c r="G115" s="137"/>
      <c r="H115" s="132"/>
      <c r="I115" s="124"/>
      <c r="J115" s="131"/>
      <c r="K115" s="126"/>
      <c r="L115" s="126"/>
      <c r="M115" s="126"/>
      <c r="N115" s="126"/>
    </row>
    <row r="116" spans="1:14" ht="39" customHeight="1" x14ac:dyDescent="0.2">
      <c r="A116" s="518"/>
      <c r="B116" s="529"/>
      <c r="C116" s="516"/>
      <c r="D116" s="516"/>
      <c r="E116" s="508">
        <v>2026</v>
      </c>
      <c r="F116" s="508">
        <v>2013</v>
      </c>
      <c r="G116" s="137"/>
      <c r="H116" s="132"/>
      <c r="I116" s="124"/>
      <c r="J116" s="131"/>
      <c r="K116" s="126"/>
      <c r="L116" s="126"/>
      <c r="M116" s="126"/>
      <c r="N116" s="126"/>
    </row>
    <row r="117" spans="1:14" ht="39" customHeight="1" x14ac:dyDescent="0.2">
      <c r="A117" s="517">
        <v>23</v>
      </c>
      <c r="B117" s="529"/>
      <c r="C117" s="514" t="s">
        <v>341</v>
      </c>
      <c r="D117" s="514" t="s">
        <v>415</v>
      </c>
      <c r="E117" s="508" t="s">
        <v>497</v>
      </c>
      <c r="F117" s="508"/>
      <c r="G117" s="199">
        <f>G118+G119+G120+G121</f>
        <v>0</v>
      </c>
      <c r="H117" s="199">
        <f>H118+H119+H120+H121</f>
        <v>0</v>
      </c>
      <c r="I117" s="124"/>
      <c r="J117" s="131"/>
      <c r="K117" s="126"/>
      <c r="L117" s="126"/>
      <c r="M117" s="200">
        <f>M118+M119+M120+M121</f>
        <v>0</v>
      </c>
      <c r="N117" s="200">
        <f>N118+N119+N120+N121</f>
        <v>0</v>
      </c>
    </row>
    <row r="118" spans="1:14" ht="39" customHeight="1" x14ac:dyDescent="0.2">
      <c r="A118" s="518"/>
      <c r="B118" s="529"/>
      <c r="C118" s="515"/>
      <c r="D118" s="515"/>
      <c r="E118" s="508">
        <v>2023</v>
      </c>
      <c r="F118" s="508">
        <v>2013</v>
      </c>
      <c r="G118" s="137"/>
      <c r="H118" s="132"/>
      <c r="I118" s="124" t="s">
        <v>339</v>
      </c>
      <c r="J118" s="131"/>
      <c r="K118" s="126"/>
      <c r="L118" s="126"/>
      <c r="M118" s="126"/>
      <c r="N118" s="126"/>
    </row>
    <row r="119" spans="1:14" ht="39" customHeight="1" x14ac:dyDescent="0.2">
      <c r="A119" s="518"/>
      <c r="B119" s="529"/>
      <c r="C119" s="515"/>
      <c r="D119" s="515"/>
      <c r="E119" s="508">
        <v>2024</v>
      </c>
      <c r="F119" s="508">
        <v>2013</v>
      </c>
      <c r="G119" s="137"/>
      <c r="H119" s="132"/>
      <c r="I119" s="124"/>
      <c r="J119" s="131"/>
      <c r="K119" s="126"/>
      <c r="L119" s="126"/>
      <c r="M119" s="126"/>
      <c r="N119" s="126"/>
    </row>
    <row r="120" spans="1:14" ht="39" customHeight="1" x14ac:dyDescent="0.2">
      <c r="A120" s="518"/>
      <c r="B120" s="529"/>
      <c r="C120" s="515"/>
      <c r="D120" s="515"/>
      <c r="E120" s="508">
        <v>2025</v>
      </c>
      <c r="F120" s="508">
        <v>2013</v>
      </c>
      <c r="G120" s="137"/>
      <c r="H120" s="132"/>
      <c r="I120" s="124"/>
      <c r="J120" s="131"/>
      <c r="K120" s="126"/>
      <c r="L120" s="126"/>
      <c r="M120" s="126"/>
      <c r="N120" s="126"/>
    </row>
    <row r="121" spans="1:14" ht="39" customHeight="1" x14ac:dyDescent="0.2">
      <c r="A121" s="518"/>
      <c r="B121" s="529"/>
      <c r="C121" s="516"/>
      <c r="D121" s="516"/>
      <c r="E121" s="508">
        <v>2026</v>
      </c>
      <c r="F121" s="508">
        <v>2013</v>
      </c>
      <c r="G121" s="137"/>
      <c r="H121" s="132"/>
      <c r="I121" s="124"/>
      <c r="J121" s="131"/>
      <c r="K121" s="126"/>
      <c r="L121" s="126"/>
      <c r="M121" s="126"/>
      <c r="N121" s="126"/>
    </row>
    <row r="122" spans="1:14" ht="39" customHeight="1" x14ac:dyDescent="0.2">
      <c r="A122" s="517">
        <v>24</v>
      </c>
      <c r="B122" s="529"/>
      <c r="C122" s="514" t="s">
        <v>342</v>
      </c>
      <c r="D122" s="514" t="s">
        <v>343</v>
      </c>
      <c r="E122" s="508" t="s">
        <v>497</v>
      </c>
      <c r="F122" s="508"/>
      <c r="G122" s="199">
        <f>G123+G124+G125+G126</f>
        <v>0</v>
      </c>
      <c r="H122" s="199">
        <f>H123+H124+H125+H126</f>
        <v>0</v>
      </c>
      <c r="I122" s="124"/>
      <c r="J122" s="131"/>
      <c r="K122" s="126"/>
      <c r="L122" s="126"/>
      <c r="M122" s="200">
        <f>M123+M124+M125+M126</f>
        <v>0</v>
      </c>
      <c r="N122" s="200">
        <f>N123+N124+N125+N126</f>
        <v>0</v>
      </c>
    </row>
    <row r="123" spans="1:14" ht="39" customHeight="1" x14ac:dyDescent="0.2">
      <c r="A123" s="518"/>
      <c r="B123" s="529"/>
      <c r="C123" s="515"/>
      <c r="D123" s="515"/>
      <c r="E123" s="508">
        <v>2023</v>
      </c>
      <c r="F123" s="508">
        <v>2013</v>
      </c>
      <c r="G123" s="137"/>
      <c r="H123" s="132"/>
      <c r="I123" s="124"/>
      <c r="J123" s="131"/>
      <c r="K123" s="126"/>
      <c r="L123" s="126"/>
      <c r="M123" s="126"/>
      <c r="N123" s="126"/>
    </row>
    <row r="124" spans="1:14" ht="39" customHeight="1" x14ac:dyDescent="0.2">
      <c r="A124" s="518"/>
      <c r="B124" s="529"/>
      <c r="C124" s="515"/>
      <c r="D124" s="515"/>
      <c r="E124" s="508">
        <v>2024</v>
      </c>
      <c r="F124" s="508">
        <v>2013</v>
      </c>
      <c r="G124" s="137"/>
      <c r="H124" s="132"/>
      <c r="I124" s="124" t="s">
        <v>344</v>
      </c>
      <c r="J124" s="131"/>
      <c r="K124" s="126"/>
      <c r="L124" s="126"/>
      <c r="M124" s="126"/>
      <c r="N124" s="126"/>
    </row>
    <row r="125" spans="1:14" ht="63.75" customHeight="1" x14ac:dyDescent="0.2">
      <c r="A125" s="518"/>
      <c r="B125" s="529"/>
      <c r="C125" s="515"/>
      <c r="D125" s="515"/>
      <c r="E125" s="508">
        <v>2025</v>
      </c>
      <c r="F125" s="508">
        <v>2013</v>
      </c>
      <c r="G125" s="137"/>
      <c r="H125" s="132"/>
      <c r="I125" s="124"/>
      <c r="J125" s="131" t="s">
        <v>345</v>
      </c>
      <c r="K125" s="126"/>
      <c r="L125" s="126"/>
      <c r="M125" s="126"/>
      <c r="N125" s="126"/>
    </row>
    <row r="126" spans="1:14" ht="66.75" customHeight="1" x14ac:dyDescent="0.2">
      <c r="A126" s="518"/>
      <c r="B126" s="529"/>
      <c r="C126" s="516"/>
      <c r="D126" s="516"/>
      <c r="E126" s="508">
        <v>2026</v>
      </c>
      <c r="F126" s="508">
        <v>2013</v>
      </c>
      <c r="G126" s="137"/>
      <c r="H126" s="132"/>
      <c r="I126" s="124"/>
      <c r="J126" s="131"/>
      <c r="K126" s="126"/>
      <c r="L126" s="126"/>
      <c r="M126" s="126"/>
      <c r="N126" s="126"/>
    </row>
    <row r="127" spans="1:14" ht="66.75" customHeight="1" x14ac:dyDescent="0.2">
      <c r="A127" s="517">
        <v>25</v>
      </c>
      <c r="B127" s="529"/>
      <c r="C127" s="514" t="s">
        <v>346</v>
      </c>
      <c r="D127" s="514" t="s">
        <v>343</v>
      </c>
      <c r="E127" s="508" t="s">
        <v>497</v>
      </c>
      <c r="F127" s="508"/>
      <c r="G127" s="199">
        <f>G128+G129+G130+G131</f>
        <v>0</v>
      </c>
      <c r="H127" s="199">
        <f>H128+H129+H130+H131</f>
        <v>0</v>
      </c>
      <c r="I127" s="124"/>
      <c r="J127" s="131"/>
      <c r="K127" s="126"/>
      <c r="L127" s="126"/>
      <c r="M127" s="200">
        <f>M128+M129+M130+M131</f>
        <v>0</v>
      </c>
      <c r="N127" s="200">
        <f>N128+N129+N130+N131</f>
        <v>0</v>
      </c>
    </row>
    <row r="128" spans="1:14" ht="42.75" customHeight="1" x14ac:dyDescent="0.2">
      <c r="A128" s="518"/>
      <c r="B128" s="529"/>
      <c r="C128" s="515"/>
      <c r="D128" s="515"/>
      <c r="E128" s="508">
        <v>2023</v>
      </c>
      <c r="F128" s="508">
        <v>2013</v>
      </c>
      <c r="G128" s="137"/>
      <c r="H128" s="132"/>
      <c r="I128" s="124"/>
      <c r="J128" s="131"/>
      <c r="K128" s="126"/>
      <c r="L128" s="126"/>
      <c r="M128" s="126"/>
      <c r="N128" s="126"/>
    </row>
    <row r="129" spans="1:14" ht="38.25" customHeight="1" x14ac:dyDescent="0.2">
      <c r="A129" s="518"/>
      <c r="B129" s="529"/>
      <c r="C129" s="515"/>
      <c r="D129" s="515"/>
      <c r="E129" s="508">
        <v>2024</v>
      </c>
      <c r="F129" s="508">
        <v>2013</v>
      </c>
      <c r="G129" s="137"/>
      <c r="H129" s="132"/>
      <c r="I129" s="124" t="s">
        <v>344</v>
      </c>
      <c r="J129" s="131"/>
      <c r="K129" s="126"/>
      <c r="L129" s="126"/>
      <c r="M129" s="126"/>
      <c r="N129" s="126"/>
    </row>
    <row r="130" spans="1:14" ht="43.5" customHeight="1" x14ac:dyDescent="0.2">
      <c r="A130" s="518"/>
      <c r="B130" s="529"/>
      <c r="C130" s="515"/>
      <c r="D130" s="515"/>
      <c r="E130" s="508">
        <v>2025</v>
      </c>
      <c r="F130" s="508">
        <v>2013</v>
      </c>
      <c r="G130" s="137"/>
      <c r="H130" s="132"/>
      <c r="I130" s="124"/>
      <c r="J130" s="131" t="s">
        <v>345</v>
      </c>
      <c r="K130" s="126"/>
      <c r="L130" s="126"/>
      <c r="M130" s="126"/>
      <c r="N130" s="126"/>
    </row>
    <row r="131" spans="1:14" ht="39.75" customHeight="1" x14ac:dyDescent="0.2">
      <c r="A131" s="518"/>
      <c r="B131" s="529"/>
      <c r="C131" s="516"/>
      <c r="D131" s="516"/>
      <c r="E131" s="508">
        <v>2026</v>
      </c>
      <c r="F131" s="508">
        <v>2013</v>
      </c>
      <c r="G131" s="137"/>
      <c r="H131" s="132"/>
      <c r="I131" s="124"/>
      <c r="J131" s="131"/>
      <c r="K131" s="126"/>
      <c r="L131" s="126"/>
      <c r="M131" s="126"/>
      <c r="N131" s="126"/>
    </row>
    <row r="132" spans="1:14" ht="42" customHeight="1" x14ac:dyDescent="0.2">
      <c r="A132" s="517">
        <v>26</v>
      </c>
      <c r="B132" s="529"/>
      <c r="C132" s="514" t="s">
        <v>347</v>
      </c>
      <c r="D132" s="514" t="s">
        <v>348</v>
      </c>
      <c r="E132" s="508" t="s">
        <v>497</v>
      </c>
      <c r="F132" s="508"/>
      <c r="G132" s="199">
        <f>G133+G134+G135+G136</f>
        <v>0</v>
      </c>
      <c r="H132" s="199">
        <f>H133+H134+H135+H136</f>
        <v>0</v>
      </c>
      <c r="I132" s="124"/>
      <c r="J132" s="131"/>
      <c r="K132" s="126"/>
      <c r="L132" s="126"/>
      <c r="M132" s="200">
        <f>M133+M134+M135+M136</f>
        <v>0</v>
      </c>
      <c r="N132" s="200">
        <f>N133+N134+N135+N136</f>
        <v>0</v>
      </c>
    </row>
    <row r="133" spans="1:14" ht="49.5" customHeight="1" x14ac:dyDescent="0.2">
      <c r="A133" s="518"/>
      <c r="B133" s="529"/>
      <c r="C133" s="515"/>
      <c r="D133" s="515"/>
      <c r="E133" s="508">
        <v>2023</v>
      </c>
      <c r="F133" s="508">
        <v>2013</v>
      </c>
      <c r="G133" s="137"/>
      <c r="H133" s="132"/>
      <c r="I133" s="124"/>
      <c r="J133" s="131"/>
      <c r="K133" s="126"/>
      <c r="L133" s="126"/>
      <c r="M133" s="126"/>
      <c r="N133" s="126"/>
    </row>
    <row r="134" spans="1:14" ht="39.75" customHeight="1" x14ac:dyDescent="0.2">
      <c r="A134" s="518"/>
      <c r="B134" s="529"/>
      <c r="C134" s="515"/>
      <c r="D134" s="515"/>
      <c r="E134" s="508">
        <v>2024</v>
      </c>
      <c r="F134" s="508">
        <v>2013</v>
      </c>
      <c r="G134" s="137"/>
      <c r="H134" s="132"/>
      <c r="I134" s="124" t="s">
        <v>344</v>
      </c>
      <c r="J134" s="131"/>
      <c r="K134" s="126"/>
      <c r="L134" s="126"/>
      <c r="M134" s="126"/>
      <c r="N134" s="126"/>
    </row>
    <row r="135" spans="1:14" ht="58.5" customHeight="1" x14ac:dyDescent="0.2">
      <c r="A135" s="518"/>
      <c r="B135" s="529"/>
      <c r="C135" s="515"/>
      <c r="D135" s="515"/>
      <c r="E135" s="508">
        <v>2025</v>
      </c>
      <c r="F135" s="508">
        <v>2013</v>
      </c>
      <c r="G135" s="137"/>
      <c r="H135" s="132"/>
      <c r="I135" s="124"/>
      <c r="J135" s="131" t="s">
        <v>345</v>
      </c>
      <c r="K135" s="126"/>
      <c r="L135" s="126"/>
      <c r="M135" s="126"/>
      <c r="N135" s="126"/>
    </row>
    <row r="136" spans="1:14" ht="54" customHeight="1" x14ac:dyDescent="0.2">
      <c r="A136" s="518"/>
      <c r="B136" s="529"/>
      <c r="C136" s="516"/>
      <c r="D136" s="516"/>
      <c r="E136" s="508">
        <v>2026</v>
      </c>
      <c r="F136" s="508">
        <v>2013</v>
      </c>
      <c r="G136" s="137"/>
      <c r="H136" s="132"/>
      <c r="I136" s="124"/>
      <c r="J136" s="131"/>
      <c r="K136" s="126"/>
      <c r="L136" s="126"/>
      <c r="M136" s="126"/>
      <c r="N136" s="126"/>
    </row>
    <row r="137" spans="1:14" ht="54" customHeight="1" x14ac:dyDescent="0.2">
      <c r="A137" s="517">
        <v>27</v>
      </c>
      <c r="B137" s="529"/>
      <c r="C137" s="514" t="s">
        <v>349</v>
      </c>
      <c r="D137" s="514" t="s">
        <v>348</v>
      </c>
      <c r="E137" s="508" t="s">
        <v>497</v>
      </c>
      <c r="F137" s="508"/>
      <c r="G137" s="199">
        <f>G138+G139+G140+G141</f>
        <v>0</v>
      </c>
      <c r="H137" s="199">
        <f>H138+H139+H140+H141</f>
        <v>0</v>
      </c>
      <c r="I137" s="504" t="s">
        <v>350</v>
      </c>
      <c r="J137" s="131"/>
      <c r="K137" s="126"/>
      <c r="L137" s="126"/>
      <c r="M137" s="200">
        <f>M138+M139+M140+M141</f>
        <v>0</v>
      </c>
      <c r="N137" s="200">
        <f>N138+N139+N140+N141</f>
        <v>0</v>
      </c>
    </row>
    <row r="138" spans="1:14" ht="54" customHeight="1" x14ac:dyDescent="0.2">
      <c r="A138" s="518"/>
      <c r="B138" s="529"/>
      <c r="C138" s="515"/>
      <c r="D138" s="515"/>
      <c r="E138" s="508">
        <v>2023</v>
      </c>
      <c r="F138" s="508">
        <v>2013</v>
      </c>
      <c r="G138" s="137"/>
      <c r="H138" s="132"/>
      <c r="I138" s="505"/>
      <c r="J138" s="131"/>
      <c r="K138" s="126"/>
      <c r="L138" s="126"/>
      <c r="M138" s="126"/>
      <c r="N138" s="126"/>
    </row>
    <row r="139" spans="1:14" ht="54" customHeight="1" x14ac:dyDescent="0.2">
      <c r="A139" s="518"/>
      <c r="B139" s="529"/>
      <c r="C139" s="515"/>
      <c r="D139" s="515"/>
      <c r="E139" s="508">
        <v>2024</v>
      </c>
      <c r="F139" s="508">
        <v>2013</v>
      </c>
      <c r="G139" s="137"/>
      <c r="H139" s="132"/>
      <c r="I139" s="505"/>
      <c r="J139" s="131"/>
      <c r="K139" s="126"/>
      <c r="L139" s="126"/>
      <c r="M139" s="126"/>
      <c r="N139" s="126"/>
    </row>
    <row r="140" spans="1:14" ht="54" customHeight="1" x14ac:dyDescent="0.2">
      <c r="A140" s="518"/>
      <c r="B140" s="529"/>
      <c r="C140" s="515"/>
      <c r="D140" s="515"/>
      <c r="E140" s="508">
        <v>2025</v>
      </c>
      <c r="F140" s="508">
        <v>2013</v>
      </c>
      <c r="G140" s="137"/>
      <c r="H140" s="132"/>
      <c r="I140" s="505"/>
      <c r="J140" s="131"/>
      <c r="K140" s="126"/>
      <c r="L140" s="126"/>
      <c r="M140" s="126"/>
      <c r="N140" s="126"/>
    </row>
    <row r="141" spans="1:14" ht="54" customHeight="1" x14ac:dyDescent="0.2">
      <c r="A141" s="518"/>
      <c r="B141" s="529"/>
      <c r="C141" s="516"/>
      <c r="D141" s="516"/>
      <c r="E141" s="508">
        <v>2026</v>
      </c>
      <c r="F141" s="508">
        <v>2013</v>
      </c>
      <c r="G141" s="137"/>
      <c r="H141" s="132"/>
      <c r="I141" s="506"/>
      <c r="J141" s="131"/>
      <c r="K141" s="126"/>
      <c r="L141" s="126"/>
      <c r="M141" s="126"/>
      <c r="N141" s="126"/>
    </row>
    <row r="142" spans="1:14" ht="54" customHeight="1" x14ac:dyDescent="0.2">
      <c r="A142" s="517">
        <v>28</v>
      </c>
      <c r="B142" s="529"/>
      <c r="C142" s="514" t="s">
        <v>351</v>
      </c>
      <c r="D142" s="514" t="s">
        <v>352</v>
      </c>
      <c r="E142" s="508" t="s">
        <v>497</v>
      </c>
      <c r="F142" s="508"/>
      <c r="G142" s="199">
        <f>G143+G144+G145+G146</f>
        <v>0</v>
      </c>
      <c r="H142" s="199">
        <f>H143+H144+H145+H146</f>
        <v>0</v>
      </c>
      <c r="I142" s="131"/>
      <c r="J142" s="131"/>
      <c r="K142" s="126"/>
      <c r="L142" s="126"/>
      <c r="M142" s="200">
        <f>M143+M144+M145+M146</f>
        <v>0</v>
      </c>
      <c r="N142" s="200">
        <f>N143+N144+N145+N146</f>
        <v>0</v>
      </c>
    </row>
    <row r="143" spans="1:14" ht="54" customHeight="1" x14ac:dyDescent="0.2">
      <c r="A143" s="518"/>
      <c r="B143" s="529"/>
      <c r="C143" s="515"/>
      <c r="D143" s="515"/>
      <c r="E143" s="508">
        <v>2023</v>
      </c>
      <c r="F143" s="508">
        <v>2013</v>
      </c>
      <c r="G143" s="137"/>
      <c r="H143" s="132"/>
      <c r="I143" s="131"/>
      <c r="J143" s="131"/>
      <c r="K143" s="126"/>
      <c r="L143" s="126"/>
      <c r="M143" s="126"/>
      <c r="N143" s="126"/>
    </row>
    <row r="144" spans="1:14" ht="54" customHeight="1" x14ac:dyDescent="0.2">
      <c r="A144" s="518"/>
      <c r="B144" s="529"/>
      <c r="C144" s="515"/>
      <c r="D144" s="515"/>
      <c r="E144" s="508">
        <v>2024</v>
      </c>
      <c r="F144" s="508">
        <v>2013</v>
      </c>
      <c r="G144" s="137"/>
      <c r="H144" s="132"/>
      <c r="I144" s="131"/>
      <c r="J144" s="131"/>
      <c r="K144" s="126"/>
      <c r="L144" s="126"/>
      <c r="M144" s="126"/>
      <c r="N144" s="126"/>
    </row>
    <row r="145" spans="1:14" ht="54" customHeight="1" x14ac:dyDescent="0.2">
      <c r="A145" s="518"/>
      <c r="B145" s="529"/>
      <c r="C145" s="515"/>
      <c r="D145" s="515"/>
      <c r="E145" s="508">
        <v>2025</v>
      </c>
      <c r="F145" s="508">
        <v>2013</v>
      </c>
      <c r="G145" s="137"/>
      <c r="H145" s="132"/>
      <c r="I145" s="131"/>
      <c r="J145" s="131"/>
      <c r="K145" s="126"/>
      <c r="L145" s="126"/>
      <c r="M145" s="126"/>
      <c r="N145" s="126"/>
    </row>
    <row r="146" spans="1:14" ht="54" customHeight="1" x14ac:dyDescent="0.2">
      <c r="A146" s="518"/>
      <c r="B146" s="529"/>
      <c r="C146" s="516"/>
      <c r="D146" s="516"/>
      <c r="E146" s="508">
        <v>2026</v>
      </c>
      <c r="F146" s="508">
        <v>2013</v>
      </c>
      <c r="G146" s="137"/>
      <c r="H146" s="132"/>
      <c r="I146" s="131"/>
      <c r="J146" s="131"/>
      <c r="K146" s="126"/>
      <c r="L146" s="126"/>
      <c r="M146" s="126"/>
      <c r="N146" s="126"/>
    </row>
    <row r="147" spans="1:14" ht="126.75" customHeight="1" x14ac:dyDescent="0.2">
      <c r="A147" s="517">
        <v>29</v>
      </c>
      <c r="B147" s="529"/>
      <c r="C147" s="514" t="s">
        <v>353</v>
      </c>
      <c r="D147" s="514" t="s">
        <v>354</v>
      </c>
      <c r="E147" s="508" t="s">
        <v>497</v>
      </c>
      <c r="F147" s="508"/>
      <c r="G147" s="199">
        <f>G148+G149+G150+G151</f>
        <v>0</v>
      </c>
      <c r="H147" s="199">
        <f>H148+H149+H150+H151</f>
        <v>0</v>
      </c>
      <c r="I147" s="121" t="s">
        <v>355</v>
      </c>
      <c r="J147" s="131"/>
      <c r="K147" s="126"/>
      <c r="L147" s="126"/>
      <c r="M147" s="200">
        <f>M148+M149+M150+M151</f>
        <v>0</v>
      </c>
      <c r="N147" s="200">
        <f>N148+N149+N150+N151</f>
        <v>0</v>
      </c>
    </row>
    <row r="148" spans="1:14" ht="54" customHeight="1" x14ac:dyDescent="0.2">
      <c r="A148" s="518"/>
      <c r="B148" s="529"/>
      <c r="C148" s="515"/>
      <c r="D148" s="515"/>
      <c r="E148" s="508">
        <v>2023</v>
      </c>
      <c r="F148" s="508">
        <v>2013</v>
      </c>
      <c r="G148" s="137"/>
      <c r="H148" s="132"/>
      <c r="I148" s="131"/>
      <c r="J148" s="131"/>
      <c r="K148" s="126"/>
      <c r="L148" s="126"/>
      <c r="M148" s="126"/>
      <c r="N148" s="126"/>
    </row>
    <row r="149" spans="1:14" ht="54" customHeight="1" x14ac:dyDescent="0.2">
      <c r="A149" s="518"/>
      <c r="B149" s="529"/>
      <c r="C149" s="515"/>
      <c r="D149" s="515"/>
      <c r="E149" s="508">
        <v>2024</v>
      </c>
      <c r="F149" s="508">
        <v>2013</v>
      </c>
      <c r="G149" s="137"/>
      <c r="H149" s="132"/>
      <c r="I149" s="121" t="s">
        <v>314</v>
      </c>
      <c r="J149" s="121"/>
      <c r="K149" s="126"/>
      <c r="L149" s="126"/>
      <c r="M149" s="126"/>
      <c r="N149" s="126"/>
    </row>
    <row r="150" spans="1:14" ht="54" customHeight="1" x14ac:dyDescent="0.2">
      <c r="A150" s="518"/>
      <c r="B150" s="529"/>
      <c r="C150" s="515"/>
      <c r="D150" s="515"/>
      <c r="E150" s="508">
        <v>2025</v>
      </c>
      <c r="F150" s="508">
        <v>2013</v>
      </c>
      <c r="G150" s="137"/>
      <c r="H150" s="132"/>
      <c r="I150" s="121"/>
      <c r="J150" s="121" t="s">
        <v>356</v>
      </c>
      <c r="K150" s="126"/>
      <c r="L150" s="126"/>
      <c r="M150" s="126"/>
      <c r="N150" s="126"/>
    </row>
    <row r="151" spans="1:14" ht="54" customHeight="1" x14ac:dyDescent="0.2">
      <c r="A151" s="518"/>
      <c r="B151" s="529"/>
      <c r="C151" s="516"/>
      <c r="D151" s="516"/>
      <c r="E151" s="508">
        <v>2026</v>
      </c>
      <c r="F151" s="508">
        <v>2013</v>
      </c>
      <c r="G151" s="137"/>
      <c r="H151" s="132"/>
      <c r="I151" s="131"/>
      <c r="J151" s="131"/>
      <c r="K151" s="134" t="s">
        <v>357</v>
      </c>
      <c r="L151" s="126"/>
      <c r="M151" s="126"/>
      <c r="N151" s="126"/>
    </row>
    <row r="152" spans="1:14" ht="36" customHeight="1" x14ac:dyDescent="0.2">
      <c r="A152" s="517">
        <v>30</v>
      </c>
      <c r="B152" s="529"/>
      <c r="C152" s="514" t="s">
        <v>358</v>
      </c>
      <c r="D152" s="514" t="s">
        <v>359</v>
      </c>
      <c r="E152" s="508" t="s">
        <v>497</v>
      </c>
      <c r="F152" s="508"/>
      <c r="G152" s="199">
        <f>G153+G154+G155+G156</f>
        <v>0</v>
      </c>
      <c r="H152" s="199">
        <f>H153+H154+H155+H156</f>
        <v>0</v>
      </c>
      <c r="I152" s="514" t="s">
        <v>360</v>
      </c>
      <c r="J152" s="131"/>
      <c r="K152" s="126"/>
      <c r="L152" s="126"/>
      <c r="M152" s="200">
        <f>M153+M154+M155+M156</f>
        <v>0</v>
      </c>
      <c r="N152" s="200">
        <f>N153+N154+N155+N156</f>
        <v>0</v>
      </c>
    </row>
    <row r="153" spans="1:14" ht="57.75" customHeight="1" x14ac:dyDescent="0.2">
      <c r="A153" s="518"/>
      <c r="B153" s="529"/>
      <c r="C153" s="515"/>
      <c r="D153" s="515"/>
      <c r="E153" s="508">
        <v>2023</v>
      </c>
      <c r="F153" s="508">
        <v>2013</v>
      </c>
      <c r="G153" s="137"/>
      <c r="H153" s="132"/>
      <c r="I153" s="515"/>
      <c r="J153" s="131"/>
      <c r="K153" s="126"/>
      <c r="L153" s="126"/>
      <c r="M153" s="126"/>
      <c r="N153" s="126"/>
    </row>
    <row r="154" spans="1:14" ht="30.75" customHeight="1" x14ac:dyDescent="0.2">
      <c r="A154" s="518"/>
      <c r="B154" s="529"/>
      <c r="C154" s="515"/>
      <c r="D154" s="515"/>
      <c r="E154" s="508">
        <v>2024</v>
      </c>
      <c r="F154" s="508">
        <v>2013</v>
      </c>
      <c r="G154" s="137"/>
      <c r="H154" s="132"/>
      <c r="I154" s="515"/>
      <c r="J154" s="131"/>
      <c r="K154" s="126"/>
      <c r="L154" s="126"/>
      <c r="M154" s="126"/>
      <c r="N154" s="126"/>
    </row>
    <row r="155" spans="1:14" ht="78.75" customHeight="1" x14ac:dyDescent="0.2">
      <c r="A155" s="518"/>
      <c r="B155" s="529"/>
      <c r="C155" s="515"/>
      <c r="D155" s="515"/>
      <c r="E155" s="508">
        <v>2025</v>
      </c>
      <c r="F155" s="508">
        <v>2013</v>
      </c>
      <c r="G155" s="137"/>
      <c r="H155" s="132"/>
      <c r="I155" s="515"/>
      <c r="J155" s="131"/>
      <c r="K155" s="126"/>
      <c r="L155" s="126"/>
      <c r="M155" s="126"/>
      <c r="N155" s="126"/>
    </row>
    <row r="156" spans="1:14" ht="79.5" customHeight="1" x14ac:dyDescent="0.2">
      <c r="A156" s="518"/>
      <c r="B156" s="529"/>
      <c r="C156" s="516"/>
      <c r="D156" s="516"/>
      <c r="E156" s="508">
        <v>2026</v>
      </c>
      <c r="F156" s="508">
        <v>2013</v>
      </c>
      <c r="G156" s="137"/>
      <c r="H156" s="132"/>
      <c r="I156" s="516"/>
      <c r="J156" s="131"/>
      <c r="K156" s="126"/>
      <c r="L156" s="126"/>
      <c r="M156" s="126"/>
      <c r="N156" s="126"/>
    </row>
    <row r="157" spans="1:14" s="95" customFormat="1" ht="15.75" x14ac:dyDescent="0.25">
      <c r="A157" s="507" t="s">
        <v>114</v>
      </c>
      <c r="B157" s="507"/>
      <c r="C157" s="507"/>
      <c r="D157" s="507"/>
      <c r="E157" s="507"/>
      <c r="F157" s="507"/>
      <c r="G157" s="154">
        <f>G7+G12+G17+G22+G27+G32+G42+G47+G52+G57+G62+G67+G72+G77+G82+G87+G97+G102+G107+G112+G122+G127+G132+G137+G142+G147+G152+G92+G117</f>
        <v>0</v>
      </c>
      <c r="H157" s="154">
        <f t="shared" ref="H157:N157" si="0">H7+H12+H17+H22+H27+H32+H42+H47+H52+H57+H62+H67+H72+H77+H82+H87+H97+H102+H107+H112+H122+H127+H132+H137+H142+H147+H152+H92+H117</f>
        <v>0</v>
      </c>
      <c r="I157" s="154"/>
      <c r="J157" s="154"/>
      <c r="K157" s="154"/>
      <c r="L157" s="154"/>
      <c r="M157" s="154">
        <f t="shared" si="0"/>
        <v>0</v>
      </c>
      <c r="N157" s="154">
        <f t="shared" si="0"/>
        <v>0</v>
      </c>
    </row>
    <row r="158" spans="1:14" s="96" customFormat="1" ht="34.5" customHeight="1" x14ac:dyDescent="0.25">
      <c r="A158" s="509">
        <v>1</v>
      </c>
      <c r="B158" s="558" t="s">
        <v>361</v>
      </c>
      <c r="C158" s="504" t="s">
        <v>362</v>
      </c>
      <c r="D158" s="504" t="s">
        <v>363</v>
      </c>
      <c r="E158" s="508" t="s">
        <v>497</v>
      </c>
      <c r="F158" s="508"/>
      <c r="G158" s="199">
        <f>G159+G160+G161+G162</f>
        <v>0</v>
      </c>
      <c r="H158" s="199">
        <f>H159+H160+H161+H162</f>
        <v>0</v>
      </c>
      <c r="I158" s="132"/>
      <c r="J158" s="132"/>
      <c r="K158" s="132"/>
      <c r="L158" s="132"/>
      <c r="M158" s="200">
        <f>M159+M160+M161+M162</f>
        <v>0</v>
      </c>
      <c r="N158" s="200">
        <f>N159+N160+N161+N162</f>
        <v>0</v>
      </c>
    </row>
    <row r="159" spans="1:14" s="96" customFormat="1" ht="15.75" x14ac:dyDescent="0.25">
      <c r="A159" s="509"/>
      <c r="B159" s="510"/>
      <c r="C159" s="505"/>
      <c r="D159" s="505"/>
      <c r="E159" s="508">
        <v>2023</v>
      </c>
      <c r="F159" s="508">
        <v>2013</v>
      </c>
      <c r="G159" s="132"/>
      <c r="H159" s="132"/>
      <c r="I159" s="132"/>
      <c r="J159" s="132"/>
      <c r="K159" s="132"/>
      <c r="L159" s="132"/>
      <c r="M159" s="132"/>
      <c r="N159" s="132"/>
    </row>
    <row r="160" spans="1:14" s="96" customFormat="1" ht="15.75" x14ac:dyDescent="0.25">
      <c r="A160" s="509"/>
      <c r="B160" s="510"/>
      <c r="C160" s="505"/>
      <c r="D160" s="505"/>
      <c r="E160" s="508">
        <v>2024</v>
      </c>
      <c r="F160" s="508">
        <v>2013</v>
      </c>
      <c r="G160" s="132"/>
      <c r="H160" s="132"/>
      <c r="I160" s="132"/>
      <c r="J160" s="132"/>
      <c r="K160" s="132"/>
      <c r="L160" s="132"/>
      <c r="M160" s="132"/>
      <c r="N160" s="132"/>
    </row>
    <row r="161" spans="1:14" s="96" customFormat="1" ht="15.75" x14ac:dyDescent="0.25">
      <c r="A161" s="509"/>
      <c r="B161" s="510"/>
      <c r="C161" s="505"/>
      <c r="D161" s="505"/>
      <c r="E161" s="508">
        <v>2025</v>
      </c>
      <c r="F161" s="508">
        <v>2013</v>
      </c>
      <c r="G161" s="132"/>
      <c r="H161" s="132"/>
      <c r="I161" s="132"/>
      <c r="J161" s="132"/>
      <c r="K161" s="132"/>
      <c r="L161" s="132"/>
      <c r="M161" s="132"/>
      <c r="N161" s="132"/>
    </row>
    <row r="162" spans="1:14" s="96" customFormat="1" ht="15.75" x14ac:dyDescent="0.25">
      <c r="A162" s="509"/>
      <c r="B162" s="510"/>
      <c r="C162" s="506"/>
      <c r="D162" s="506"/>
      <c r="E162" s="508">
        <v>2026</v>
      </c>
      <c r="F162" s="508">
        <v>2013</v>
      </c>
      <c r="G162" s="132"/>
      <c r="H162" s="132"/>
      <c r="I162" s="132"/>
      <c r="J162" s="132"/>
      <c r="K162" s="132"/>
      <c r="L162" s="132"/>
      <c r="M162" s="132"/>
      <c r="N162" s="132"/>
    </row>
    <row r="163" spans="1:14" s="96" customFormat="1" ht="37.5" customHeight="1" x14ac:dyDescent="0.25">
      <c r="A163" s="509">
        <v>2</v>
      </c>
      <c r="B163" s="510"/>
      <c r="C163" s="504" t="s">
        <v>364</v>
      </c>
      <c r="D163" s="504" t="s">
        <v>365</v>
      </c>
      <c r="E163" s="508" t="s">
        <v>497</v>
      </c>
      <c r="F163" s="508"/>
      <c r="G163" s="199">
        <f>G164+G165+G166+G167</f>
        <v>144.4</v>
      </c>
      <c r="H163" s="199">
        <f>H164+H165+H166+H167</f>
        <v>0</v>
      </c>
      <c r="I163" s="132"/>
      <c r="J163" s="132"/>
      <c r="K163" s="132"/>
      <c r="L163" s="132"/>
      <c r="M163" s="200">
        <f>M164+M165+M166+M167</f>
        <v>0</v>
      </c>
      <c r="N163" s="200">
        <f>N164+N165+N166+N167</f>
        <v>18</v>
      </c>
    </row>
    <row r="164" spans="1:14" s="96" customFormat="1" ht="15.75" x14ac:dyDescent="0.25">
      <c r="A164" s="509"/>
      <c r="B164" s="510"/>
      <c r="C164" s="505"/>
      <c r="D164" s="505"/>
      <c r="E164" s="508">
        <v>2023</v>
      </c>
      <c r="F164" s="508">
        <v>2013</v>
      </c>
      <c r="G164" s="132"/>
      <c r="H164" s="132"/>
      <c r="I164" s="132"/>
      <c r="J164" s="132"/>
      <c r="K164" s="132"/>
      <c r="L164" s="132"/>
      <c r="M164" s="132"/>
      <c r="N164" s="132"/>
    </row>
    <row r="165" spans="1:14" s="96" customFormat="1" ht="15.75" x14ac:dyDescent="0.25">
      <c r="A165" s="509"/>
      <c r="B165" s="510"/>
      <c r="C165" s="505"/>
      <c r="D165" s="505"/>
      <c r="E165" s="508">
        <v>2024</v>
      </c>
      <c r="F165" s="508">
        <v>2013</v>
      </c>
      <c r="G165" s="150"/>
      <c r="H165" s="151"/>
      <c r="I165" s="151"/>
      <c r="J165" s="151"/>
      <c r="K165" s="151"/>
      <c r="L165" s="151"/>
      <c r="M165" s="150"/>
      <c r="N165" s="151"/>
    </row>
    <row r="166" spans="1:14" s="96" customFormat="1" ht="15.75" x14ac:dyDescent="0.25">
      <c r="A166" s="509"/>
      <c r="B166" s="510"/>
      <c r="C166" s="505"/>
      <c r="D166" s="505"/>
      <c r="E166" s="508">
        <v>2025</v>
      </c>
      <c r="F166" s="508">
        <v>2013</v>
      </c>
      <c r="G166" s="150">
        <v>144.4</v>
      </c>
      <c r="H166" s="151"/>
      <c r="I166" s="151"/>
      <c r="J166" s="151"/>
      <c r="K166" s="151"/>
      <c r="L166" s="151"/>
      <c r="M166" s="150"/>
      <c r="N166" s="151"/>
    </row>
    <row r="167" spans="1:14" s="96" customFormat="1" ht="30" customHeight="1" x14ac:dyDescent="0.25">
      <c r="A167" s="509"/>
      <c r="B167" s="510"/>
      <c r="C167" s="506"/>
      <c r="D167" s="506"/>
      <c r="E167" s="508">
        <v>2026</v>
      </c>
      <c r="F167" s="508">
        <v>2013</v>
      </c>
      <c r="G167" s="132"/>
      <c r="H167" s="132"/>
      <c r="I167" s="132"/>
      <c r="J167" s="132"/>
      <c r="K167" s="132"/>
      <c r="L167" s="132"/>
      <c r="M167" s="231"/>
      <c r="N167" s="232">
        <v>18</v>
      </c>
    </row>
    <row r="168" spans="1:14" s="96" customFormat="1" ht="55.5" customHeight="1" x14ac:dyDescent="0.25">
      <c r="A168" s="509">
        <v>3</v>
      </c>
      <c r="B168" s="510"/>
      <c r="C168" s="504" t="s">
        <v>366</v>
      </c>
      <c r="D168" s="504" t="s">
        <v>367</v>
      </c>
      <c r="E168" s="508" t="s">
        <v>497</v>
      </c>
      <c r="F168" s="508"/>
      <c r="G168" s="199">
        <f>G169+G170+G171+G172</f>
        <v>0</v>
      </c>
      <c r="H168" s="199">
        <f>H169+H170+H171+H172</f>
        <v>0</v>
      </c>
      <c r="I168" s="124" t="s">
        <v>368</v>
      </c>
      <c r="J168" s="124" t="s">
        <v>368</v>
      </c>
      <c r="K168" s="124" t="s">
        <v>368</v>
      </c>
      <c r="L168" s="124" t="s">
        <v>368</v>
      </c>
      <c r="M168" s="200">
        <f>M169+M170+M171+M172</f>
        <v>0</v>
      </c>
      <c r="N168" s="200">
        <f>N169+N170+N171+N172</f>
        <v>0</v>
      </c>
    </row>
    <row r="169" spans="1:14" s="96" customFormat="1" ht="15.75" x14ac:dyDescent="0.25">
      <c r="A169" s="509"/>
      <c r="B169" s="510"/>
      <c r="C169" s="505"/>
      <c r="D169" s="505"/>
      <c r="E169" s="508">
        <v>2023</v>
      </c>
      <c r="F169" s="508">
        <v>2013</v>
      </c>
      <c r="G169" s="132"/>
      <c r="H169" s="132"/>
      <c r="I169" s="132"/>
      <c r="J169" s="132"/>
      <c r="K169" s="132"/>
      <c r="L169" s="132"/>
      <c r="M169" s="132"/>
      <c r="N169" s="132"/>
    </row>
    <row r="170" spans="1:14" s="96" customFormat="1" ht="15.75" x14ac:dyDescent="0.25">
      <c r="A170" s="509"/>
      <c r="B170" s="510"/>
      <c r="C170" s="505"/>
      <c r="D170" s="505"/>
      <c r="E170" s="508">
        <v>2024</v>
      </c>
      <c r="F170" s="508">
        <v>2013</v>
      </c>
      <c r="G170" s="132"/>
      <c r="H170" s="132"/>
      <c r="I170" s="132"/>
      <c r="J170" s="132"/>
      <c r="K170" s="132"/>
      <c r="L170" s="132"/>
      <c r="M170" s="132"/>
      <c r="N170" s="132"/>
    </row>
    <row r="171" spans="1:14" s="96" customFormat="1" ht="15.75" x14ac:dyDescent="0.25">
      <c r="A171" s="509"/>
      <c r="B171" s="510"/>
      <c r="C171" s="505"/>
      <c r="D171" s="505"/>
      <c r="E171" s="508">
        <v>2025</v>
      </c>
      <c r="F171" s="508">
        <v>2013</v>
      </c>
      <c r="G171" s="132"/>
      <c r="H171" s="132"/>
      <c r="I171" s="132"/>
      <c r="J171" s="132"/>
      <c r="K171" s="132"/>
      <c r="L171" s="132"/>
      <c r="M171" s="132"/>
      <c r="N171" s="132"/>
    </row>
    <row r="172" spans="1:14" s="96" customFormat="1" ht="33.75" customHeight="1" x14ac:dyDescent="0.25">
      <c r="A172" s="509"/>
      <c r="B172" s="510"/>
      <c r="C172" s="506"/>
      <c r="D172" s="506"/>
      <c r="E172" s="508">
        <v>2026</v>
      </c>
      <c r="F172" s="508">
        <v>2013</v>
      </c>
      <c r="G172" s="132"/>
      <c r="H172" s="132"/>
      <c r="I172" s="132"/>
      <c r="J172" s="132"/>
      <c r="K172" s="132"/>
      <c r="L172" s="132"/>
      <c r="M172" s="132"/>
      <c r="N172" s="132"/>
    </row>
    <row r="173" spans="1:14" s="96" customFormat="1" ht="33.75" customHeight="1" x14ac:dyDescent="0.25">
      <c r="A173" s="555">
        <v>4</v>
      </c>
      <c r="B173" s="510"/>
      <c r="C173" s="560" t="s">
        <v>416</v>
      </c>
      <c r="D173" s="560" t="s">
        <v>417</v>
      </c>
      <c r="E173" s="508" t="s">
        <v>497</v>
      </c>
      <c r="F173" s="508"/>
      <c r="G173" s="199">
        <f>G174+G175+G176+G177</f>
        <v>0</v>
      </c>
      <c r="H173" s="199">
        <f>H174+H175+H176+H177</f>
        <v>0</v>
      </c>
      <c r="I173" s="124" t="s">
        <v>368</v>
      </c>
      <c r="J173" s="124" t="s">
        <v>368</v>
      </c>
      <c r="K173" s="124" t="s">
        <v>368</v>
      </c>
      <c r="L173" s="124" t="s">
        <v>368</v>
      </c>
      <c r="M173" s="200">
        <f>M174+M175+M176+M177</f>
        <v>0</v>
      </c>
      <c r="N173" s="200">
        <f>N174+N175+N176+N177</f>
        <v>0</v>
      </c>
    </row>
    <row r="174" spans="1:14" s="96" customFormat="1" ht="33.75" customHeight="1" x14ac:dyDescent="0.25">
      <c r="A174" s="556"/>
      <c r="B174" s="510"/>
      <c r="C174" s="561"/>
      <c r="D174" s="561"/>
      <c r="E174" s="508">
        <v>2023</v>
      </c>
      <c r="F174" s="508">
        <v>2013</v>
      </c>
      <c r="G174" s="132"/>
      <c r="H174" s="132"/>
      <c r="I174" s="132"/>
      <c r="J174" s="132"/>
      <c r="K174" s="132"/>
      <c r="L174" s="132"/>
      <c r="M174" s="132"/>
      <c r="N174" s="132"/>
    </row>
    <row r="175" spans="1:14" s="96" customFormat="1" ht="33.75" customHeight="1" x14ac:dyDescent="0.25">
      <c r="A175" s="556"/>
      <c r="B175" s="510"/>
      <c r="C175" s="561"/>
      <c r="D175" s="561"/>
      <c r="E175" s="508">
        <v>2024</v>
      </c>
      <c r="F175" s="508">
        <v>2013</v>
      </c>
      <c r="G175" s="132"/>
      <c r="H175" s="132"/>
      <c r="I175" s="132"/>
      <c r="J175" s="132"/>
      <c r="K175" s="132"/>
      <c r="L175" s="132"/>
      <c r="M175" s="132"/>
      <c r="N175" s="132"/>
    </row>
    <row r="176" spans="1:14" s="96" customFormat="1" ht="33.75" customHeight="1" x14ac:dyDescent="0.25">
      <c r="A176" s="556"/>
      <c r="B176" s="510"/>
      <c r="C176" s="561"/>
      <c r="D176" s="561"/>
      <c r="E176" s="508">
        <v>2025</v>
      </c>
      <c r="F176" s="508">
        <v>2013</v>
      </c>
      <c r="G176" s="132"/>
      <c r="H176" s="132"/>
      <c r="I176" s="132"/>
      <c r="J176" s="132"/>
      <c r="K176" s="132"/>
      <c r="L176" s="132"/>
      <c r="M176" s="132"/>
      <c r="N176" s="132"/>
    </row>
    <row r="177" spans="1:14" s="96" customFormat="1" ht="33.75" customHeight="1" x14ac:dyDescent="0.25">
      <c r="A177" s="557"/>
      <c r="B177" s="559"/>
      <c r="C177" s="562"/>
      <c r="D177" s="562"/>
      <c r="E177" s="508">
        <v>2026</v>
      </c>
      <c r="F177" s="508">
        <v>2013</v>
      </c>
      <c r="G177" s="132"/>
      <c r="H177" s="132"/>
      <c r="I177" s="132"/>
      <c r="J177" s="132"/>
      <c r="K177" s="132"/>
      <c r="L177" s="132"/>
      <c r="M177" s="132"/>
      <c r="N177" s="132"/>
    </row>
    <row r="178" spans="1:14" s="95" customFormat="1" ht="15.75" x14ac:dyDescent="0.25">
      <c r="A178" s="507" t="s">
        <v>114</v>
      </c>
      <c r="B178" s="507"/>
      <c r="C178" s="507"/>
      <c r="D178" s="507"/>
      <c r="E178" s="507"/>
      <c r="F178" s="507"/>
      <c r="G178" s="152">
        <f>G158+G163+G168+G173</f>
        <v>144.4</v>
      </c>
      <c r="H178" s="152">
        <f t="shared" ref="H178:N178" si="1">H158+H163+H168+H173</f>
        <v>0</v>
      </c>
      <c r="I178" s="152"/>
      <c r="J178" s="152"/>
      <c r="K178" s="152"/>
      <c r="L178" s="152"/>
      <c r="M178" s="152">
        <f t="shared" si="1"/>
        <v>0</v>
      </c>
      <c r="N178" s="152">
        <f t="shared" si="1"/>
        <v>18</v>
      </c>
    </row>
    <row r="179" spans="1:14" ht="30.75" customHeight="1" x14ac:dyDescent="0.2">
      <c r="A179" s="509">
        <v>1</v>
      </c>
      <c r="B179" s="510" t="s">
        <v>522</v>
      </c>
      <c r="C179" s="511" t="s">
        <v>418</v>
      </c>
      <c r="D179" s="505" t="s">
        <v>521</v>
      </c>
      <c r="E179" s="508" t="s">
        <v>517</v>
      </c>
      <c r="F179" s="508"/>
      <c r="G179" s="199">
        <f>G180+G181+G182+G183</f>
        <v>118.4</v>
      </c>
      <c r="H179" s="199">
        <f>H180+H181+H182+H183</f>
        <v>0</v>
      </c>
      <c r="I179" s="133"/>
      <c r="J179" s="133"/>
      <c r="K179" s="133"/>
      <c r="L179" s="133"/>
      <c r="M179" s="200">
        <f>M180+M181+M182+M183</f>
        <v>0</v>
      </c>
      <c r="N179" s="200">
        <f>N180+N181+N182+N183</f>
        <v>0</v>
      </c>
    </row>
    <row r="180" spans="1:14" hidden="1" x14ac:dyDescent="0.2">
      <c r="A180" s="509"/>
      <c r="B180" s="510"/>
      <c r="C180" s="512"/>
      <c r="D180" s="505"/>
      <c r="E180" s="508">
        <v>2023</v>
      </c>
      <c r="F180" s="508">
        <v>2013</v>
      </c>
      <c r="G180" s="133"/>
      <c r="H180" s="133"/>
      <c r="I180" s="133"/>
      <c r="J180" s="133"/>
      <c r="K180" s="133"/>
      <c r="L180" s="133"/>
      <c r="M180" s="133"/>
      <c r="N180" s="133"/>
    </row>
    <row r="181" spans="1:14" x14ac:dyDescent="0.2">
      <c r="A181" s="509"/>
      <c r="B181" s="510"/>
      <c r="C181" s="512"/>
      <c r="D181" s="505"/>
      <c r="E181" s="508">
        <v>2024</v>
      </c>
      <c r="F181" s="508">
        <v>2013</v>
      </c>
      <c r="G181" s="126">
        <v>118.4</v>
      </c>
      <c r="H181" s="133"/>
      <c r="I181" s="133"/>
      <c r="J181" s="133"/>
      <c r="K181" s="133"/>
      <c r="L181" s="133"/>
      <c r="M181" s="133"/>
      <c r="N181" s="133"/>
    </row>
    <row r="182" spans="1:14" x14ac:dyDescent="0.2">
      <c r="A182" s="509"/>
      <c r="B182" s="510"/>
      <c r="C182" s="512"/>
      <c r="D182" s="505"/>
      <c r="E182" s="508">
        <v>2025</v>
      </c>
      <c r="F182" s="508">
        <v>2013</v>
      </c>
      <c r="G182" s="133"/>
      <c r="H182" s="133"/>
      <c r="I182" s="133"/>
      <c r="J182" s="133"/>
      <c r="K182" s="133"/>
      <c r="L182" s="133"/>
      <c r="M182" s="133"/>
      <c r="N182" s="133"/>
    </row>
    <row r="183" spans="1:14" x14ac:dyDescent="0.2">
      <c r="A183" s="509"/>
      <c r="B183" s="510"/>
      <c r="C183" s="513"/>
      <c r="D183" s="505"/>
      <c r="E183" s="508">
        <v>2026</v>
      </c>
      <c r="F183" s="508">
        <v>2013</v>
      </c>
      <c r="G183" s="133"/>
      <c r="H183" s="133"/>
      <c r="I183" s="133"/>
      <c r="J183" s="133"/>
      <c r="K183" s="133"/>
      <c r="L183" s="133"/>
      <c r="M183" s="133"/>
      <c r="N183" s="133"/>
    </row>
    <row r="184" spans="1:14" ht="25.5" customHeight="1" x14ac:dyDescent="0.2">
      <c r="A184" s="509">
        <v>2</v>
      </c>
      <c r="B184" s="510"/>
      <c r="C184" s="511" t="s">
        <v>498</v>
      </c>
      <c r="D184" s="505"/>
      <c r="E184" s="508" t="s">
        <v>517</v>
      </c>
      <c r="F184" s="508"/>
      <c r="G184" s="199">
        <v>24</v>
      </c>
      <c r="H184" s="199">
        <f>H185+H186+H187</f>
        <v>0</v>
      </c>
      <c r="I184" s="133"/>
      <c r="J184" s="133"/>
      <c r="K184" s="133"/>
      <c r="L184" s="133"/>
      <c r="M184" s="200">
        <f>M185+M186+M187</f>
        <v>0</v>
      </c>
      <c r="N184" s="200">
        <f>N185+N186+N187</f>
        <v>0</v>
      </c>
    </row>
    <row r="185" spans="1:14" x14ac:dyDescent="0.2">
      <c r="A185" s="509"/>
      <c r="B185" s="510"/>
      <c r="C185" s="512"/>
      <c r="D185" s="505"/>
      <c r="E185" s="508">
        <v>2024</v>
      </c>
      <c r="F185" s="508">
        <v>2013</v>
      </c>
      <c r="G185" s="126">
        <v>24</v>
      </c>
      <c r="H185" s="133"/>
      <c r="I185" s="133"/>
      <c r="J185" s="133"/>
      <c r="K185" s="133"/>
      <c r="L185" s="133"/>
      <c r="M185" s="133"/>
      <c r="N185" s="133"/>
    </row>
    <row r="186" spans="1:14" x14ac:dyDescent="0.2">
      <c r="A186" s="509"/>
      <c r="B186" s="510"/>
      <c r="C186" s="512"/>
      <c r="D186" s="505"/>
      <c r="E186" s="508">
        <v>2025</v>
      </c>
      <c r="F186" s="508">
        <v>2013</v>
      </c>
      <c r="G186" s="133"/>
      <c r="H186" s="133"/>
      <c r="I186" s="133"/>
      <c r="J186" s="133"/>
      <c r="K186" s="133"/>
      <c r="L186" s="133"/>
      <c r="M186" s="133"/>
      <c r="N186" s="133"/>
    </row>
    <row r="187" spans="1:14" x14ac:dyDescent="0.2">
      <c r="A187" s="509"/>
      <c r="B187" s="510"/>
      <c r="C187" s="513"/>
      <c r="D187" s="506"/>
      <c r="E187" s="508">
        <v>2026</v>
      </c>
      <c r="F187" s="508">
        <v>2013</v>
      </c>
      <c r="G187" s="133"/>
      <c r="H187" s="133"/>
      <c r="I187" s="133"/>
      <c r="J187" s="133"/>
      <c r="K187" s="133"/>
      <c r="L187" s="133"/>
      <c r="M187" s="133"/>
      <c r="N187" s="133"/>
    </row>
    <row r="188" spans="1:14" ht="15.75" x14ac:dyDescent="0.25">
      <c r="A188" s="507" t="s">
        <v>114</v>
      </c>
      <c r="B188" s="507"/>
      <c r="C188" s="507"/>
      <c r="D188" s="507"/>
      <c r="E188" s="507"/>
      <c r="F188" s="507"/>
      <c r="G188" s="152">
        <f t="shared" ref="G188:N188" si="2">G179+G184</f>
        <v>142.4</v>
      </c>
      <c r="H188" s="152">
        <f t="shared" si="2"/>
        <v>0</v>
      </c>
      <c r="I188" s="152">
        <f t="shared" si="2"/>
        <v>0</v>
      </c>
      <c r="J188" s="152">
        <f t="shared" si="2"/>
        <v>0</v>
      </c>
      <c r="K188" s="152">
        <f t="shared" si="2"/>
        <v>0</v>
      </c>
      <c r="L188" s="152">
        <f t="shared" si="2"/>
        <v>0</v>
      </c>
      <c r="M188" s="152">
        <f t="shared" si="2"/>
        <v>0</v>
      </c>
      <c r="N188" s="152">
        <f t="shared" si="2"/>
        <v>0</v>
      </c>
    </row>
    <row r="189" spans="1:14" ht="15.75" x14ac:dyDescent="0.25">
      <c r="A189" s="507" t="s">
        <v>419</v>
      </c>
      <c r="B189" s="507"/>
      <c r="C189" s="507"/>
      <c r="D189" s="507"/>
      <c r="E189" s="507"/>
      <c r="F189" s="507"/>
      <c r="G189" s="154">
        <f t="shared" ref="G189:N189" si="3">G157+G178+G188</f>
        <v>286.8</v>
      </c>
      <c r="H189" s="154">
        <f t="shared" si="3"/>
        <v>0</v>
      </c>
      <c r="I189" s="154">
        <f t="shared" si="3"/>
        <v>0</v>
      </c>
      <c r="J189" s="154">
        <f t="shared" si="3"/>
        <v>0</v>
      </c>
      <c r="K189" s="154">
        <f t="shared" si="3"/>
        <v>0</v>
      </c>
      <c r="L189" s="154">
        <f t="shared" si="3"/>
        <v>0</v>
      </c>
      <c r="M189" s="154">
        <f t="shared" si="3"/>
        <v>0</v>
      </c>
      <c r="N189" s="154">
        <f t="shared" si="3"/>
        <v>18</v>
      </c>
    </row>
  </sheetData>
  <mergeCells count="318">
    <mergeCell ref="E14:F14"/>
    <mergeCell ref="E15:F15"/>
    <mergeCell ref="A173:A177"/>
    <mergeCell ref="B158:B177"/>
    <mergeCell ref="C168:C172"/>
    <mergeCell ref="D168:D172"/>
    <mergeCell ref="C158:C162"/>
    <mergeCell ref="D158:D162"/>
    <mergeCell ref="E158:F158"/>
    <mergeCell ref="E159:F159"/>
    <mergeCell ref="E160:F160"/>
    <mergeCell ref="E161:F161"/>
    <mergeCell ref="D163:D167"/>
    <mergeCell ref="E163:F163"/>
    <mergeCell ref="E164:F164"/>
    <mergeCell ref="E165:F165"/>
    <mergeCell ref="E166:F166"/>
    <mergeCell ref="E167:F167"/>
    <mergeCell ref="E177:F177"/>
    <mergeCell ref="C173:C177"/>
    <mergeCell ref="D173:D177"/>
    <mergeCell ref="E173:F173"/>
    <mergeCell ref="E32:F32"/>
    <mergeCell ref="E33:F33"/>
    <mergeCell ref="I1:N1"/>
    <mergeCell ref="E16:F16"/>
    <mergeCell ref="E12:F12"/>
    <mergeCell ref="E13:F13"/>
    <mergeCell ref="E7:F7"/>
    <mergeCell ref="E8:F8"/>
    <mergeCell ref="E9:F9"/>
    <mergeCell ref="C12:C16"/>
    <mergeCell ref="D12:D16"/>
    <mergeCell ref="C7:C11"/>
    <mergeCell ref="D7:D11"/>
    <mergeCell ref="A3:N3"/>
    <mergeCell ref="M5:M6"/>
    <mergeCell ref="A5:A6"/>
    <mergeCell ref="D5:D6"/>
    <mergeCell ref="H5:H6"/>
    <mergeCell ref="N5:N6"/>
    <mergeCell ref="G5:G6"/>
    <mergeCell ref="I5:L5"/>
    <mergeCell ref="B5:B6"/>
    <mergeCell ref="C5:C6"/>
    <mergeCell ref="E5:F6"/>
    <mergeCell ref="A12:A16"/>
    <mergeCell ref="E10:F10"/>
    <mergeCell ref="I22:I26"/>
    <mergeCell ref="E23:F23"/>
    <mergeCell ref="E24:F24"/>
    <mergeCell ref="E25:F25"/>
    <mergeCell ref="E26:F26"/>
    <mergeCell ref="I17:I21"/>
    <mergeCell ref="E18:F18"/>
    <mergeCell ref="E19:F19"/>
    <mergeCell ref="E20:F20"/>
    <mergeCell ref="E21:F21"/>
    <mergeCell ref="E17:F17"/>
    <mergeCell ref="E22:F22"/>
    <mergeCell ref="E34:F34"/>
    <mergeCell ref="I34:I35"/>
    <mergeCell ref="E35:F35"/>
    <mergeCell ref="I27:I31"/>
    <mergeCell ref="E28:F28"/>
    <mergeCell ref="E29:F29"/>
    <mergeCell ref="E30:F30"/>
    <mergeCell ref="E31:F31"/>
    <mergeCell ref="E27:F27"/>
    <mergeCell ref="E36:F36"/>
    <mergeCell ref="A37:A41"/>
    <mergeCell ref="C37:C41"/>
    <mergeCell ref="D37:D41"/>
    <mergeCell ref="E37:F37"/>
    <mergeCell ref="E38:F38"/>
    <mergeCell ref="E39:F39"/>
    <mergeCell ref="E40:F40"/>
    <mergeCell ref="E41:F41"/>
    <mergeCell ref="B7:B156"/>
    <mergeCell ref="A17:A21"/>
    <mergeCell ref="C17:C21"/>
    <mergeCell ref="D17:D21"/>
    <mergeCell ref="A22:A26"/>
    <mergeCell ref="C22:C26"/>
    <mergeCell ref="D22:D26"/>
    <mergeCell ref="A27:A31"/>
    <mergeCell ref="C27:C31"/>
    <mergeCell ref="D27:D31"/>
    <mergeCell ref="A32:A36"/>
    <mergeCell ref="C32:C36"/>
    <mergeCell ref="D32:D36"/>
    <mergeCell ref="A7:A11"/>
    <mergeCell ref="E11:F11"/>
    <mergeCell ref="A42:A46"/>
    <mergeCell ref="C42:C46"/>
    <mergeCell ref="D42:D46"/>
    <mergeCell ref="E42:F42"/>
    <mergeCell ref="I42:I46"/>
    <mergeCell ref="E43:F43"/>
    <mergeCell ref="E44:F44"/>
    <mergeCell ref="E45:F45"/>
    <mergeCell ref="E46:F46"/>
    <mergeCell ref="I52:I56"/>
    <mergeCell ref="E53:F53"/>
    <mergeCell ref="E54:F54"/>
    <mergeCell ref="E55:F55"/>
    <mergeCell ref="E56:F56"/>
    <mergeCell ref="A47:A51"/>
    <mergeCell ref="C47:C51"/>
    <mergeCell ref="D47:D51"/>
    <mergeCell ref="E47:F47"/>
    <mergeCell ref="I47:I51"/>
    <mergeCell ref="E48:F48"/>
    <mergeCell ref="E49:F49"/>
    <mergeCell ref="E50:F50"/>
    <mergeCell ref="E51:F51"/>
    <mergeCell ref="A57:A61"/>
    <mergeCell ref="C57:C61"/>
    <mergeCell ref="D57:D61"/>
    <mergeCell ref="E57:F57"/>
    <mergeCell ref="E58:F58"/>
    <mergeCell ref="E59:F59"/>
    <mergeCell ref="E60:F60"/>
    <mergeCell ref="E61:F61"/>
    <mergeCell ref="A52:A56"/>
    <mergeCell ref="C52:C56"/>
    <mergeCell ref="D52:D56"/>
    <mergeCell ref="E52:F52"/>
    <mergeCell ref="A67:A71"/>
    <mergeCell ref="C67:C71"/>
    <mergeCell ref="D67:D71"/>
    <mergeCell ref="E67:F67"/>
    <mergeCell ref="E68:F68"/>
    <mergeCell ref="E69:F69"/>
    <mergeCell ref="E70:F70"/>
    <mergeCell ref="E71:F71"/>
    <mergeCell ref="A62:A66"/>
    <mergeCell ref="C62:C66"/>
    <mergeCell ref="D62:D66"/>
    <mergeCell ref="E62:F62"/>
    <mergeCell ref="E63:F63"/>
    <mergeCell ref="E64:F64"/>
    <mergeCell ref="E65:F65"/>
    <mergeCell ref="E66:F66"/>
    <mergeCell ref="I73:I75"/>
    <mergeCell ref="J73:J75"/>
    <mergeCell ref="K73:K75"/>
    <mergeCell ref="E74:F74"/>
    <mergeCell ref="E75:F75"/>
    <mergeCell ref="A72:A76"/>
    <mergeCell ref="C72:C76"/>
    <mergeCell ref="D72:D76"/>
    <mergeCell ref="E72:F72"/>
    <mergeCell ref="E73:F73"/>
    <mergeCell ref="E76:F76"/>
    <mergeCell ref="A82:A86"/>
    <mergeCell ref="C82:C86"/>
    <mergeCell ref="D82:D86"/>
    <mergeCell ref="E82:F82"/>
    <mergeCell ref="E83:F83"/>
    <mergeCell ref="E84:F84"/>
    <mergeCell ref="E85:F85"/>
    <mergeCell ref="E86:F86"/>
    <mergeCell ref="A77:A81"/>
    <mergeCell ref="C77:C81"/>
    <mergeCell ref="D77:D81"/>
    <mergeCell ref="E77:F77"/>
    <mergeCell ref="E78:F78"/>
    <mergeCell ref="E79:F79"/>
    <mergeCell ref="E80:F80"/>
    <mergeCell ref="E81:F81"/>
    <mergeCell ref="J88:K88"/>
    <mergeCell ref="E89:F89"/>
    <mergeCell ref="E90:F90"/>
    <mergeCell ref="E91:F91"/>
    <mergeCell ref="A92:A96"/>
    <mergeCell ref="C92:C96"/>
    <mergeCell ref="D92:D96"/>
    <mergeCell ref="E92:F92"/>
    <mergeCell ref="E93:F93"/>
    <mergeCell ref="E94:F94"/>
    <mergeCell ref="E95:F95"/>
    <mergeCell ref="E96:F96"/>
    <mergeCell ref="A87:A91"/>
    <mergeCell ref="C87:C91"/>
    <mergeCell ref="D87:D91"/>
    <mergeCell ref="E87:F87"/>
    <mergeCell ref="E88:F88"/>
    <mergeCell ref="A102:A106"/>
    <mergeCell ref="C102:C106"/>
    <mergeCell ref="D102:D106"/>
    <mergeCell ref="E102:F102"/>
    <mergeCell ref="E103:F103"/>
    <mergeCell ref="E104:F104"/>
    <mergeCell ref="E105:F105"/>
    <mergeCell ref="E106:F106"/>
    <mergeCell ref="A97:A101"/>
    <mergeCell ref="C97:C101"/>
    <mergeCell ref="D97:D101"/>
    <mergeCell ref="E97:F97"/>
    <mergeCell ref="E98:F98"/>
    <mergeCell ref="E99:F99"/>
    <mergeCell ref="E100:F100"/>
    <mergeCell ref="E101:F101"/>
    <mergeCell ref="A117:A121"/>
    <mergeCell ref="C117:C121"/>
    <mergeCell ref="D117:D121"/>
    <mergeCell ref="E117:F117"/>
    <mergeCell ref="E118:F118"/>
    <mergeCell ref="E119:F119"/>
    <mergeCell ref="E120:F120"/>
    <mergeCell ref="E121:F121"/>
    <mergeCell ref="E109:F109"/>
    <mergeCell ref="E110:F110"/>
    <mergeCell ref="E111:F111"/>
    <mergeCell ref="A112:A116"/>
    <mergeCell ref="C112:C116"/>
    <mergeCell ref="D112:D116"/>
    <mergeCell ref="E112:F112"/>
    <mergeCell ref="E113:F113"/>
    <mergeCell ref="E114:F114"/>
    <mergeCell ref="E115:F115"/>
    <mergeCell ref="E116:F116"/>
    <mergeCell ref="A107:A111"/>
    <mergeCell ref="C107:C111"/>
    <mergeCell ref="D107:D111"/>
    <mergeCell ref="E107:F107"/>
    <mergeCell ref="E108:F108"/>
    <mergeCell ref="A127:A131"/>
    <mergeCell ref="C127:C131"/>
    <mergeCell ref="D127:D131"/>
    <mergeCell ref="E127:F127"/>
    <mergeCell ref="E128:F128"/>
    <mergeCell ref="E129:F129"/>
    <mergeCell ref="E130:F130"/>
    <mergeCell ref="E131:F131"/>
    <mergeCell ref="A122:A126"/>
    <mergeCell ref="C122:C126"/>
    <mergeCell ref="D122:D126"/>
    <mergeCell ref="E122:F122"/>
    <mergeCell ref="E123:F123"/>
    <mergeCell ref="E124:F124"/>
    <mergeCell ref="E125:F125"/>
    <mergeCell ref="E126:F126"/>
    <mergeCell ref="I137:I141"/>
    <mergeCell ref="E138:F138"/>
    <mergeCell ref="E139:F139"/>
    <mergeCell ref="E140:F140"/>
    <mergeCell ref="E141:F141"/>
    <mergeCell ref="A132:A136"/>
    <mergeCell ref="C132:C136"/>
    <mergeCell ref="D132:D136"/>
    <mergeCell ref="E132:F132"/>
    <mergeCell ref="E133:F133"/>
    <mergeCell ref="E134:F134"/>
    <mergeCell ref="E135:F135"/>
    <mergeCell ref="E136:F136"/>
    <mergeCell ref="A142:A146"/>
    <mergeCell ref="C142:C146"/>
    <mergeCell ref="D142:D146"/>
    <mergeCell ref="E142:F142"/>
    <mergeCell ref="E143:F143"/>
    <mergeCell ref="E144:F144"/>
    <mergeCell ref="E145:F145"/>
    <mergeCell ref="E146:F146"/>
    <mergeCell ref="A137:A141"/>
    <mergeCell ref="C137:C141"/>
    <mergeCell ref="D137:D141"/>
    <mergeCell ref="E137:F137"/>
    <mergeCell ref="A147:A151"/>
    <mergeCell ref="C147:C151"/>
    <mergeCell ref="D147:D151"/>
    <mergeCell ref="E147:F147"/>
    <mergeCell ref="E148:F148"/>
    <mergeCell ref="E149:F149"/>
    <mergeCell ref="E150:F150"/>
    <mergeCell ref="E151:F151"/>
    <mergeCell ref="A152:A156"/>
    <mergeCell ref="C152:C156"/>
    <mergeCell ref="D152:D156"/>
    <mergeCell ref="E152:F152"/>
    <mergeCell ref="E176:F176"/>
    <mergeCell ref="E168:F168"/>
    <mergeCell ref="E169:F169"/>
    <mergeCell ref="E170:F170"/>
    <mergeCell ref="E171:F171"/>
    <mergeCell ref="E172:F172"/>
    <mergeCell ref="E162:F162"/>
    <mergeCell ref="E175:F175"/>
    <mergeCell ref="I152:I156"/>
    <mergeCell ref="E153:F153"/>
    <mergeCell ref="E154:F154"/>
    <mergeCell ref="E155:F155"/>
    <mergeCell ref="E156:F156"/>
    <mergeCell ref="C163:C167"/>
    <mergeCell ref="A188:F188"/>
    <mergeCell ref="D179:D187"/>
    <mergeCell ref="A189:F189"/>
    <mergeCell ref="E184:F184"/>
    <mergeCell ref="E185:F185"/>
    <mergeCell ref="E186:F186"/>
    <mergeCell ref="E187:F187"/>
    <mergeCell ref="A157:F157"/>
    <mergeCell ref="A158:A162"/>
    <mergeCell ref="A178:F178"/>
    <mergeCell ref="A168:A172"/>
    <mergeCell ref="A163:A167"/>
    <mergeCell ref="B179:B187"/>
    <mergeCell ref="A179:A183"/>
    <mergeCell ref="C179:C183"/>
    <mergeCell ref="E179:F179"/>
    <mergeCell ref="E180:F180"/>
    <mergeCell ref="E181:F181"/>
    <mergeCell ref="E182:F182"/>
    <mergeCell ref="E183:F183"/>
    <mergeCell ref="A184:A187"/>
    <mergeCell ref="C184:C187"/>
    <mergeCell ref="E174:F174"/>
  </mergeCells>
  <phoneticPr fontId="14" type="noConversion"/>
  <printOptions horizontalCentered="1"/>
  <pageMargins left="0.23622047244094491" right="0.19685039370078741" top="0.19685039370078741" bottom="0.19685039370078741" header="0.51181102362204722" footer="0.51181102362204722"/>
  <pageSetup paperSize="9" scale="4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7</vt:i4>
      </vt:variant>
    </vt:vector>
  </HeadingPairs>
  <TitlesOfParts>
    <vt:vector size="12" baseType="lpstr">
      <vt:lpstr>Прогноз 2024-2026 </vt:lpstr>
      <vt:lpstr>Приложение 1</vt:lpstr>
      <vt:lpstr>Прил 2 (расчет ИФО) (2)</vt:lpstr>
      <vt:lpstr>Прил 3 Прогноз по поселениям</vt:lpstr>
      <vt:lpstr>Прил 4 Инвестпроекты</vt:lpstr>
      <vt:lpstr>'Прил 3 Прогноз по поселениям'!Заголовки_для_печати</vt:lpstr>
      <vt:lpstr>'Приложение 1'!Заголовки_для_печати</vt:lpstr>
      <vt:lpstr>'Прогноз 2024-2026 '!Заголовки_для_печати</vt:lpstr>
      <vt:lpstr>'Прил 2 (расчет ИФО) (2)'!Область_печати</vt:lpstr>
      <vt:lpstr>'Прил 3 Прогноз по поселениям'!Область_печати</vt:lpstr>
      <vt:lpstr>'Приложение 1'!Область_печати</vt:lpstr>
      <vt:lpstr>'Прогноз 2024-2026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Орлова Юлия Анатольевна</cp:lastModifiedBy>
  <cp:lastPrinted>2023-06-21T02:25:34Z</cp:lastPrinted>
  <dcterms:created xsi:type="dcterms:W3CDTF">2006-03-06T08:26:24Z</dcterms:created>
  <dcterms:modified xsi:type="dcterms:W3CDTF">2023-06-21T02:34:29Z</dcterms:modified>
</cp:coreProperties>
</file>