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375" windowHeight="11925" activeTab="0"/>
  </bookViews>
  <sheets>
    <sheet name="Аналит.отчет" sheetId="1" r:id="rId1"/>
  </sheets>
  <definedNames>
    <definedName name="_xlnm.Print_Titles" localSheetId="0">'Аналит.отчет'!$4:$4</definedName>
    <definedName name="_xlnm.Print_Area" localSheetId="0">'Аналит.отчет'!$A$1:$I$163</definedName>
  </definedNames>
  <calcPr fullCalcOnLoad="1"/>
</workbook>
</file>

<file path=xl/sharedStrings.xml><?xml version="1.0" encoding="utf-8"?>
<sst xmlns="http://schemas.openxmlformats.org/spreadsheetml/2006/main" count="296" uniqueCount="128">
  <si>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</si>
  <si>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</si>
  <si>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</si>
  <si>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</si>
  <si>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</si>
  <si>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</si>
  <si>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</si>
  <si>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</si>
  <si>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</si>
  <si>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</si>
  <si>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</si>
  <si>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</si>
  <si>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</si>
  <si>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</si>
  <si>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</si>
  <si>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</si>
  <si>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</si>
  <si>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</si>
  <si>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</si>
  <si>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</si>
  <si>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</si>
  <si>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</si>
  <si>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</si>
  <si>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</si>
  <si>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</si>
  <si>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</si>
  <si>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</si>
  <si>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</si>
  <si>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</si>
  <si>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</si>
  <si>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</si>
  <si>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</si>
  <si>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</si>
  <si>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</si>
  <si>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</si>
  <si>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</si>
  <si>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</si>
  <si>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</si>
  <si>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</si>
  <si>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</si>
  <si>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</si>
  <si>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</si>
  <si>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</si>
  <si>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</si>
  <si>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</si>
  <si>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</si>
  <si>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</si>
  <si>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</si>
  <si>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</si>
  <si>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</si>
  <si>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</si>
  <si>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</si>
  <si>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</si>
  <si>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</si>
  <si>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</si>
  <si>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</si>
  <si>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</si>
  <si>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</si>
  <si>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</si>
  <si>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</si>
  <si>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</si>
  <si>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</si>
  <si>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</si>
  <si>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</si>
  <si>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</si>
  <si>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</si>
  <si>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</si>
  <si>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</si>
  <si>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</si>
  <si>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</si>
  <si>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</si>
  <si>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</si>
  <si>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</si>
  <si>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</si>
  <si>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</si>
  <si>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</si>
  <si>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</si>
  <si>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</si>
  <si>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</si>
  <si>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</si>
  <si>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</si>
  <si>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</si>
  <si>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</si>
  <si>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</si>
  <si>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</si>
  <si>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</si>
  <si>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</si>
  <si>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</si>
  <si>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</si>
  <si>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</si>
  <si>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</si>
  <si>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</si>
  <si>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</si>
  <si>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</si>
  <si>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</si>
  <si>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</si>
  <si>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</si>
  <si>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</si>
  <si>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</si>
  <si>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</si>
  <si>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</si>
  <si>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</si>
  <si>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</si>
  <si>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</si>
  <si>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</si>
  <si>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</si>
  <si>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</si>
  <si>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</si>
  <si>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</si>
  <si>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</si>
  <si>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</si>
  <si>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</si>
  <si>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</si>
  <si>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</si>
  <si>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</si>
  <si>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Социальная защита</t>
  </si>
  <si>
    <t xml:space="preserve">     Растениеводство и животноводство, охота и предоставление соответствующих услуг в этих областях</t>
  </si>
  <si>
    <t xml:space="preserve">     Лесоводство и лесозаготовки</t>
  </si>
  <si>
    <t xml:space="preserve">     Рыболовство и рыбоводство</t>
  </si>
  <si>
    <t>стат отгрузка</t>
  </si>
  <si>
    <t>Значение показателя за полугодие 17</t>
  </si>
  <si>
    <t xml:space="preserve">   Растениеводство и животноводство, охота и предоставление соответствующих услуг в этих областях</t>
  </si>
  <si>
    <t xml:space="preserve">   Лесоводство и лесозаготовки</t>
  </si>
  <si>
    <t xml:space="preserve">   Рыболовство и рыбоводство</t>
  </si>
  <si>
    <t>Значение показателя за соответствующий период прошлого года 9 мес 2016</t>
  </si>
  <si>
    <t>Значение показателя за отчетный период  9 мес 2017</t>
  </si>
  <si>
    <t>Аналитический отчет о социально-экономической ситуации в муниципальном образовании Слюдянский район за  2017  год.</t>
  </si>
  <si>
    <t>Значение показателя за отчетный период 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</si>
</sst>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"/>
    <numFmt numFmtId="179" formatCode="#,##0.000"/>
    <numFmt numFmtId="180" formatCode="0.000"/>
  </numFmts>
  <fonts count="6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6" fillId="3" borderId="0" applyNumberFormat="0" applyBorder="0" applyAlignment="0" applyProtection="0"/>
    <xf numFmtId="0" fontId="39" fillId="4" borderId="0" applyNumberFormat="0" applyBorder="0" applyAlignment="0" applyProtection="0"/>
    <xf numFmtId="0" fontId="16" fillId="5" borderId="0" applyNumberFormat="0" applyBorder="0" applyAlignment="0" applyProtection="0"/>
    <xf numFmtId="0" fontId="39" fillId="6" borderId="0" applyNumberFormat="0" applyBorder="0" applyAlignment="0" applyProtection="0"/>
    <xf numFmtId="0" fontId="16" fillId="7" borderId="0" applyNumberFormat="0" applyBorder="0" applyAlignment="0" applyProtection="0"/>
    <xf numFmtId="0" fontId="39" fillId="8" borderId="0" applyNumberFormat="0" applyBorder="0" applyAlignment="0" applyProtection="0"/>
    <xf numFmtId="0" fontId="16" fillId="9" borderId="0" applyNumberFormat="0" applyBorder="0" applyAlignment="0" applyProtection="0"/>
    <xf numFmtId="0" fontId="39" fillId="10" borderId="0" applyNumberFormat="0" applyBorder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16" fillId="13" borderId="0" applyNumberFormat="0" applyBorder="0" applyAlignment="0" applyProtection="0"/>
    <xf numFmtId="0" fontId="39" fillId="14" borderId="0" applyNumberFormat="0" applyBorder="0" applyAlignment="0" applyProtection="0"/>
    <xf numFmtId="0" fontId="16" fillId="15" borderId="0" applyNumberFormat="0" applyBorder="0" applyAlignment="0" applyProtection="0"/>
    <xf numFmtId="0" fontId="39" fillId="16" borderId="0" applyNumberFormat="0" applyBorder="0" applyAlignment="0" applyProtection="0"/>
    <xf numFmtId="0" fontId="16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19" borderId="0" applyNumberFormat="0" applyBorder="0" applyAlignment="0" applyProtection="0"/>
    <xf numFmtId="0" fontId="39" fillId="20" borderId="0" applyNumberFormat="0" applyBorder="0" applyAlignment="0" applyProtection="0"/>
    <xf numFmtId="0" fontId="16" fillId="9" borderId="0" applyNumberFormat="0" applyBorder="0" applyAlignment="0" applyProtection="0"/>
    <xf numFmtId="0" fontId="39" fillId="21" borderId="0" applyNumberFormat="0" applyBorder="0" applyAlignment="0" applyProtection="0"/>
    <xf numFmtId="0" fontId="16" fillId="15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4" fontId="41" fillId="0" borderId="1">
      <alignment horizontal="right"/>
      <protection/>
    </xf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2" fillId="44" borderId="2" applyNumberFormat="0" applyAlignment="0" applyProtection="0"/>
    <xf numFmtId="0" fontId="18" fillId="13" borderId="3" applyNumberFormat="0" applyAlignment="0" applyProtection="0"/>
    <xf numFmtId="0" fontId="43" fillId="45" borderId="4" applyNumberFormat="0" applyAlignment="0" applyProtection="0"/>
    <xf numFmtId="0" fontId="19" fillId="46" borderId="5" applyNumberFormat="0" applyAlignment="0" applyProtection="0"/>
    <xf numFmtId="0" fontId="44" fillId="45" borderId="2" applyNumberFormat="0" applyAlignment="0" applyProtection="0"/>
    <xf numFmtId="0" fontId="20" fillId="46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21" fillId="0" borderId="7" applyNumberFormat="0" applyFill="0" applyAlignment="0" applyProtection="0"/>
    <xf numFmtId="0" fontId="47" fillId="0" borderId="8" applyNumberFormat="0" applyFill="0" applyAlignment="0" applyProtection="0"/>
    <xf numFmtId="0" fontId="22" fillId="0" borderId="9" applyNumberFormat="0" applyFill="0" applyAlignment="0" applyProtection="0"/>
    <xf numFmtId="0" fontId="48" fillId="0" borderId="10" applyNumberFormat="0" applyFill="0" applyAlignment="0" applyProtection="0"/>
    <xf numFmtId="0" fontId="23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24" fillId="0" borderId="13" applyNumberFormat="0" applyFill="0" applyAlignment="0" applyProtection="0"/>
    <xf numFmtId="0" fontId="50" fillId="47" borderId="14" applyNumberFormat="0" applyAlignment="0" applyProtection="0"/>
    <xf numFmtId="0" fontId="25" fillId="48" borderId="15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30" fillId="0" borderId="19" applyNumberFormat="0" applyFill="0" applyAlignment="0" applyProtection="0"/>
    <xf numFmtId="0" fontId="33" fillId="0" borderId="0">
      <alignment/>
      <protection/>
    </xf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6" fillId="55" borderId="20" xfId="0" applyNumberFormat="1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0" fillId="55" borderId="0" xfId="0" applyFill="1" applyAlignment="1">
      <alignment/>
    </xf>
    <xf numFmtId="0" fontId="1" fillId="55" borderId="22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left" vertical="center" wrapText="1"/>
    </xf>
    <xf numFmtId="0" fontId="2" fillId="55" borderId="0" xfId="0" applyFont="1" applyFill="1" applyAlignment="1">
      <alignment horizontal="right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left" vertical="center" wrapText="1"/>
    </xf>
    <xf numFmtId="0" fontId="4" fillId="55" borderId="24" xfId="0" applyFont="1" applyFill="1" applyBorder="1" applyAlignment="1">
      <alignment horizontal="center" vertical="center"/>
    </xf>
    <xf numFmtId="0" fontId="1" fillId="55" borderId="24" xfId="0" applyFont="1" applyFill="1" applyBorder="1" applyAlignment="1">
      <alignment horizontal="center" vertical="center" wrapText="1"/>
    </xf>
    <xf numFmtId="172" fontId="1" fillId="55" borderId="24" xfId="0" applyNumberFormat="1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right" vertical="center" wrapText="1"/>
    </xf>
    <xf numFmtId="0" fontId="4" fillId="55" borderId="21" xfId="0" applyFont="1" applyFill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/>
    </xf>
    <xf numFmtId="0" fontId="1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left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left" vertical="center"/>
    </xf>
    <xf numFmtId="0" fontId="5" fillId="55" borderId="22" xfId="0" applyFont="1" applyFill="1" applyBorder="1" applyAlignment="1">
      <alignment horizontal="left" vertical="center" wrapText="1"/>
    </xf>
    <xf numFmtId="2" fontId="1" fillId="55" borderId="22" xfId="0" applyNumberFormat="1" applyFont="1" applyFill="1" applyBorder="1" applyAlignment="1">
      <alignment horizontal="center" vertical="center" wrapText="1"/>
    </xf>
    <xf numFmtId="0" fontId="1" fillId="55" borderId="22" xfId="0" applyFont="1" applyFill="1" applyBorder="1" applyAlignment="1">
      <alignment horizontal="left" vertical="center" wrapText="1"/>
    </xf>
    <xf numFmtId="2" fontId="1" fillId="55" borderId="26" xfId="0" applyNumberFormat="1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left" vertical="center" wrapText="1"/>
    </xf>
    <xf numFmtId="0" fontId="3" fillId="55" borderId="28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left" vertical="center" wrapText="1"/>
    </xf>
    <xf numFmtId="0" fontId="1" fillId="55" borderId="24" xfId="0" applyFont="1" applyFill="1" applyBorder="1" applyAlignment="1">
      <alignment horizontal="left" vertical="center" wrapText="1"/>
    </xf>
    <xf numFmtId="0" fontId="1" fillId="55" borderId="20" xfId="0" applyFont="1" applyFill="1" applyBorder="1" applyAlignment="1">
      <alignment horizontal="left" vertical="center" wrapText="1"/>
    </xf>
    <xf numFmtId="49" fontId="6" fillId="55" borderId="22" xfId="0" applyNumberFormat="1" applyFont="1" applyFill="1" applyBorder="1" applyAlignment="1">
      <alignment horizontal="left" vertical="center" wrapText="1"/>
    </xf>
    <xf numFmtId="0" fontId="7" fillId="55" borderId="30" xfId="0" applyFont="1" applyFill="1" applyBorder="1" applyAlignment="1">
      <alignment horizontal="left" vertical="center" wrapText="1"/>
    </xf>
    <xf numFmtId="0" fontId="8" fillId="55" borderId="30" xfId="0" applyFont="1" applyFill="1" applyBorder="1" applyAlignment="1">
      <alignment horizontal="center" vertical="center"/>
    </xf>
    <xf numFmtId="0" fontId="1" fillId="55" borderId="30" xfId="0" applyFont="1" applyFill="1" applyBorder="1" applyAlignment="1">
      <alignment horizontal="left" vertical="center" wrapText="1"/>
    </xf>
    <xf numFmtId="0" fontId="1" fillId="55" borderId="21" xfId="0" applyFont="1" applyFill="1" applyBorder="1" applyAlignment="1">
      <alignment horizontal="left" vertical="center" wrapText="1"/>
    </xf>
    <xf numFmtId="0" fontId="6" fillId="55" borderId="26" xfId="0" applyFont="1" applyFill="1" applyBorder="1" applyAlignment="1">
      <alignment horizontal="left" vertical="center" wrapText="1"/>
    </xf>
    <xf numFmtId="0" fontId="4" fillId="55" borderId="26" xfId="0" applyFont="1" applyFill="1" applyBorder="1" applyAlignment="1">
      <alignment horizontal="center" vertical="center"/>
    </xf>
    <xf numFmtId="0" fontId="1" fillId="55" borderId="26" xfId="0" applyFont="1" applyFill="1" applyBorder="1" applyAlignment="1">
      <alignment horizontal="left" vertical="center" wrapText="1"/>
    </xf>
    <xf numFmtId="0" fontId="7" fillId="55" borderId="24" xfId="0" applyFont="1" applyFill="1" applyBorder="1" applyAlignment="1">
      <alignment horizontal="left" vertical="center" wrapText="1"/>
    </xf>
    <xf numFmtId="0" fontId="8" fillId="55" borderId="24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left" vertical="center" wrapText="1"/>
    </xf>
    <xf numFmtId="0" fontId="15" fillId="55" borderId="20" xfId="0" applyFont="1" applyFill="1" applyBorder="1" applyAlignment="1">
      <alignment horizontal="left" vertical="center" wrapText="1"/>
    </xf>
    <xf numFmtId="0" fontId="15" fillId="55" borderId="20" xfId="94" applyFont="1" applyFill="1" applyBorder="1" applyAlignment="1">
      <alignment horizontal="center" vertical="center" wrapText="1"/>
      <protection/>
    </xf>
    <xf numFmtId="2" fontId="15" fillId="55" borderId="26" xfId="94" applyNumberFormat="1" applyFont="1" applyFill="1" applyBorder="1" applyAlignment="1">
      <alignment horizontal="center" vertical="center" wrapText="1"/>
      <protection/>
    </xf>
    <xf numFmtId="0" fontId="8" fillId="55" borderId="21" xfId="0" applyFont="1" applyFill="1" applyBorder="1" applyAlignment="1">
      <alignment horizontal="center" vertical="center"/>
    </xf>
    <xf numFmtId="0" fontId="15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1" fillId="55" borderId="26" xfId="0" applyFont="1" applyFill="1" applyBorder="1" applyAlignment="1">
      <alignment horizontal="center" vertical="center" wrapText="1"/>
    </xf>
    <xf numFmtId="172" fontId="1" fillId="55" borderId="26" xfId="0" applyNumberFormat="1" applyFont="1" applyFill="1" applyBorder="1" applyAlignment="1">
      <alignment horizontal="center" vertical="center" wrapText="1"/>
    </xf>
    <xf numFmtId="3" fontId="1" fillId="55" borderId="27" xfId="0" applyNumberFormat="1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/>
    </xf>
    <xf numFmtId="3" fontId="1" fillId="55" borderId="26" xfId="0" applyNumberFormat="1" applyFont="1" applyFill="1" applyBorder="1" applyAlignment="1">
      <alignment horizontal="center" vertical="center" wrapText="1"/>
    </xf>
    <xf numFmtId="0" fontId="8" fillId="55" borderId="22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vertical="center"/>
    </xf>
    <xf numFmtId="0" fontId="4" fillId="55" borderId="27" xfId="0" applyFont="1" applyFill="1" applyBorder="1" applyAlignment="1">
      <alignment horizontal="center" vertical="center"/>
    </xf>
    <xf numFmtId="0" fontId="1" fillId="55" borderId="27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4" fillId="55" borderId="30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left"/>
    </xf>
    <xf numFmtId="0" fontId="4" fillId="55" borderId="22" xfId="0" applyFont="1" applyFill="1" applyBorder="1" applyAlignment="1">
      <alignment horizontal="left" wrapText="1"/>
    </xf>
    <xf numFmtId="0" fontId="6" fillId="55" borderId="22" xfId="0" applyFont="1" applyFill="1" applyBorder="1" applyAlignment="1">
      <alignment horizontal="left" wrapText="1"/>
    </xf>
    <xf numFmtId="0" fontId="6" fillId="55" borderId="22" xfId="0" applyFont="1" applyFill="1" applyBorder="1" applyAlignment="1">
      <alignment horizontal="right" wrapText="1"/>
    </xf>
    <xf numFmtId="0" fontId="4" fillId="55" borderId="22" xfId="0" applyFont="1" applyFill="1" applyBorder="1" applyAlignment="1">
      <alignment horizontal="center"/>
    </xf>
    <xf numFmtId="0" fontId="1" fillId="55" borderId="22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/>
    </xf>
    <xf numFmtId="0" fontId="5" fillId="55" borderId="20" xfId="0" applyFont="1" applyFill="1" applyBorder="1" applyAlignment="1">
      <alignment horizontal="left" vertical="center" wrapText="1"/>
    </xf>
    <xf numFmtId="178" fontId="1" fillId="55" borderId="22" xfId="0" applyNumberFormat="1" applyFont="1" applyFill="1" applyBorder="1" applyAlignment="1">
      <alignment horizontal="center" vertical="center" wrapText="1"/>
    </xf>
    <xf numFmtId="4" fontId="1" fillId="55" borderId="22" xfId="0" applyNumberFormat="1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wrapText="1"/>
    </xf>
    <xf numFmtId="0" fontId="4" fillId="55" borderId="22" xfId="0" applyFont="1" applyFill="1" applyBorder="1" applyAlignment="1">
      <alignment horizontal="center"/>
    </xf>
    <xf numFmtId="0" fontId="5" fillId="55" borderId="22" xfId="0" applyFont="1" applyFill="1" applyBorder="1" applyAlignment="1">
      <alignment/>
    </xf>
    <xf numFmtId="0" fontId="5" fillId="55" borderId="21" xfId="0" applyFont="1" applyFill="1" applyBorder="1" applyAlignment="1">
      <alignment/>
    </xf>
    <xf numFmtId="172" fontId="1" fillId="55" borderId="22" xfId="0" applyNumberFormat="1" applyFont="1" applyFill="1" applyBorder="1" applyAlignment="1">
      <alignment horizontal="center" vertical="center" wrapText="1"/>
    </xf>
    <xf numFmtId="2" fontId="0" fillId="55" borderId="0" xfId="0" applyNumberFormat="1" applyFill="1" applyAlignment="1">
      <alignment/>
    </xf>
    <xf numFmtId="0" fontId="4" fillId="55" borderId="32" xfId="0" applyFont="1" applyFill="1" applyBorder="1" applyAlignment="1">
      <alignment horizontal="right" vertical="center" wrapText="1"/>
    </xf>
    <xf numFmtId="0" fontId="1" fillId="55" borderId="32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 vertical="center" wrapText="1"/>
    </xf>
    <xf numFmtId="172" fontId="1" fillId="55" borderId="0" xfId="0" applyNumberFormat="1" applyFont="1" applyFill="1" applyBorder="1" applyAlignment="1">
      <alignment horizontal="left" vertical="center" wrapText="1"/>
    </xf>
    <xf numFmtId="0" fontId="10" fillId="55" borderId="0" xfId="0" applyFont="1" applyFill="1" applyBorder="1" applyAlignment="1">
      <alignment horizontal="right" vertical="center" wrapText="1"/>
    </xf>
    <xf numFmtId="0" fontId="11" fillId="55" borderId="0" xfId="0" applyFont="1" applyFill="1" applyBorder="1" applyAlignment="1">
      <alignment horizontal="center" vertical="center"/>
    </xf>
    <xf numFmtId="0" fontId="12" fillId="55" borderId="0" xfId="0" applyFont="1" applyFill="1" applyBorder="1" applyAlignment="1">
      <alignment horizontal="left" vertical="center" wrapText="1"/>
    </xf>
    <xf numFmtId="172" fontId="12" fillId="55" borderId="0" xfId="0" applyNumberFormat="1" applyFont="1" applyFill="1" applyBorder="1" applyAlignment="1">
      <alignment horizontal="left" vertical="center" wrapText="1"/>
    </xf>
    <xf numFmtId="0" fontId="15" fillId="55" borderId="21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172" fontId="1" fillId="55" borderId="24" xfId="0" applyNumberFormat="1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1" fontId="1" fillId="55" borderId="33" xfId="0" applyNumberFormat="1" applyFont="1" applyFill="1" applyBorder="1" applyAlignment="1">
      <alignment horizontal="center" vertical="center"/>
    </xf>
    <xf numFmtId="0" fontId="1" fillId="55" borderId="22" xfId="0" applyFont="1" applyFill="1" applyBorder="1" applyAlignment="1">
      <alignment horizontal="center" vertical="center"/>
    </xf>
    <xf numFmtId="4" fontId="4" fillId="55" borderId="23" xfId="95" applyNumberFormat="1" applyFont="1" applyFill="1" applyBorder="1" applyAlignment="1">
      <alignment horizontal="center" vertical="center" wrapText="1"/>
      <protection/>
    </xf>
    <xf numFmtId="4" fontId="59" fillId="55" borderId="1" xfId="51" applyNumberFormat="1" applyFont="1" applyFill="1" applyAlignment="1" applyProtection="1">
      <alignment horizontal="center"/>
      <protection/>
    </xf>
    <xf numFmtId="1" fontId="1" fillId="55" borderId="22" xfId="0" applyNumberFormat="1" applyFont="1" applyFill="1" applyBorder="1" applyAlignment="1">
      <alignment horizontal="center" vertical="center" wrapText="1"/>
    </xf>
    <xf numFmtId="178" fontId="1" fillId="55" borderId="33" xfId="0" applyNumberFormat="1" applyFont="1" applyFill="1" applyBorder="1" applyAlignment="1">
      <alignment horizontal="center" vertical="center" wrapText="1"/>
    </xf>
    <xf numFmtId="4" fontId="1" fillId="55" borderId="21" xfId="0" applyNumberFormat="1" applyFont="1" applyFill="1" applyBorder="1" applyAlignment="1">
      <alignment horizontal="center" vertical="center" wrapText="1"/>
    </xf>
    <xf numFmtId="0" fontId="1" fillId="55" borderId="30" xfId="0" applyFont="1" applyFill="1" applyBorder="1" applyAlignment="1">
      <alignment horizontal="center" vertical="center" wrapText="1"/>
    </xf>
    <xf numFmtId="179" fontId="1" fillId="55" borderId="26" xfId="0" applyNumberFormat="1" applyFont="1" applyFill="1" applyBorder="1" applyAlignment="1">
      <alignment horizontal="center" vertical="center" wrapText="1"/>
    </xf>
    <xf numFmtId="0" fontId="1" fillId="55" borderId="27" xfId="0" applyFont="1" applyFill="1" applyBorder="1" applyAlignment="1">
      <alignment horizontal="center" vertical="center" wrapText="1"/>
    </xf>
    <xf numFmtId="180" fontId="1" fillId="55" borderId="22" xfId="0" applyNumberFormat="1" applyFont="1" applyFill="1" applyBorder="1" applyAlignment="1">
      <alignment horizontal="center" vertical="center" wrapText="1"/>
    </xf>
    <xf numFmtId="172" fontId="1" fillId="55" borderId="21" xfId="0" applyNumberFormat="1" applyFont="1" applyFill="1" applyBorder="1" applyAlignment="1">
      <alignment horizontal="center" vertical="center" wrapText="1"/>
    </xf>
    <xf numFmtId="3" fontId="1" fillId="55" borderId="22" xfId="0" applyNumberFormat="1" applyFont="1" applyFill="1" applyBorder="1" applyAlignment="1">
      <alignment horizontal="center" vertical="center" wrapText="1"/>
    </xf>
    <xf numFmtId="2" fontId="1" fillId="55" borderId="24" xfId="0" applyNumberFormat="1" applyFont="1" applyFill="1" applyBorder="1" applyAlignment="1">
      <alignment horizontal="left" vertical="center" wrapText="1"/>
    </xf>
    <xf numFmtId="0" fontId="1" fillId="56" borderId="22" xfId="0" applyFont="1" applyFill="1" applyBorder="1" applyAlignment="1">
      <alignment horizontal="center" vertical="center" wrapText="1"/>
    </xf>
    <xf numFmtId="3" fontId="1" fillId="56" borderId="27" xfId="0" applyNumberFormat="1" applyFont="1" applyFill="1" applyBorder="1" applyAlignment="1">
      <alignment horizontal="center" vertical="center" wrapText="1"/>
    </xf>
    <xf numFmtId="3" fontId="1" fillId="56" borderId="26" xfId="0" applyNumberFormat="1" applyFont="1" applyFill="1" applyBorder="1" applyAlignment="1">
      <alignment horizontal="center" vertical="center" wrapText="1"/>
    </xf>
    <xf numFmtId="0" fontId="1" fillId="56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172" fontId="1" fillId="56" borderId="24" xfId="0" applyNumberFormat="1" applyFont="1" applyFill="1" applyBorder="1" applyAlignment="1">
      <alignment horizontal="left" vertical="center" wrapText="1"/>
    </xf>
    <xf numFmtId="0" fontId="1" fillId="56" borderId="26" xfId="0" applyFont="1" applyFill="1" applyBorder="1" applyAlignment="1">
      <alignment horizontal="center" vertical="center" wrapText="1"/>
    </xf>
    <xf numFmtId="0" fontId="1" fillId="56" borderId="26" xfId="0" applyFont="1" applyFill="1" applyBorder="1" applyAlignment="1">
      <alignment horizontal="left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9" fillId="55" borderId="0" xfId="0" applyFont="1" applyFill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 wrapText="1"/>
    </xf>
    <xf numFmtId="0" fontId="1" fillId="55" borderId="30" xfId="0" applyFont="1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9" fillId="55" borderId="0" xfId="0" applyFont="1" applyFill="1" applyBorder="1" applyAlignment="1">
      <alignment horizontal="left" vertical="center" wrapText="1"/>
    </xf>
    <xf numFmtId="0" fontId="3" fillId="55" borderId="35" xfId="0" applyFont="1" applyFill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 wrapText="1"/>
    </xf>
    <xf numFmtId="0" fontId="3" fillId="55" borderId="37" xfId="0" applyFont="1" applyFill="1" applyBorder="1" applyAlignment="1">
      <alignment horizontal="center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3" fillId="55" borderId="38" xfId="0" applyFont="1" applyFill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1" fontId="1" fillId="55" borderId="30" xfId="0" applyNumberFormat="1" applyFont="1" applyFill="1" applyBorder="1" applyAlignment="1">
      <alignment horizontal="center" vertical="center" wrapText="1"/>
    </xf>
    <xf numFmtId="1" fontId="0" fillId="55" borderId="20" xfId="0" applyNumberFormat="1" applyFill="1" applyBorder="1" applyAlignment="1">
      <alignment horizontal="center" vertical="center" wrapText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56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Денежный 3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2 2" xfId="92"/>
    <cellStyle name="Обычный 2 2 2" xfId="93"/>
    <cellStyle name="Обычный 3" xfId="94"/>
    <cellStyle name="Обычный 4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Примечание 3" xfId="103"/>
    <cellStyle name="Percent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Финансовый 2" xfId="112"/>
    <cellStyle name="Финансовый 3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="80" zoomScaleNormal="75" zoomScaleSheetLayoutView="80" zoomScalePageLayoutView="0" workbookViewId="0" topLeftCell="A23">
      <selection activeCell="E33" sqref="E33"/>
    </sheetView>
  </sheetViews>
  <sheetFormatPr defaultColWidth="9.00390625" defaultRowHeight="12.75"/>
  <cols>
    <col min="1" max="1" width="71.75390625" style="4" customWidth="1"/>
    <col min="2" max="2" width="11.75390625" style="4" customWidth="1"/>
    <col min="3" max="3" width="18.375" style="4" hidden="1" customWidth="1"/>
    <col min="4" max="5" width="18.375" style="4" customWidth="1"/>
    <col min="6" max="7" width="18.375" style="4" hidden="1" customWidth="1"/>
    <col min="8" max="8" width="21.875" style="4" hidden="1" customWidth="1"/>
    <col min="9" max="9" width="14.75390625" style="4" customWidth="1"/>
    <col min="10" max="10" width="13.25390625" style="4" customWidth="1"/>
    <col min="11" max="16384" width="9.125" style="4" customWidth="1"/>
  </cols>
  <sheetData>
    <row r="1" spans="1:9" ht="22.5" customHeight="1">
      <c r="A1" s="6"/>
      <c r="B1" s="7"/>
      <c r="C1" s="6"/>
      <c r="D1" s="6"/>
      <c r="E1" s="6"/>
      <c r="F1" s="6"/>
      <c r="G1" s="6"/>
      <c r="H1" s="125"/>
      <c r="I1" s="125"/>
    </row>
    <row r="2" spans="1:9" ht="51" customHeight="1">
      <c r="A2" s="126" t="s">
        <v>126</v>
      </c>
      <c r="B2" s="126"/>
      <c r="C2" s="126"/>
      <c r="D2" s="126"/>
      <c r="E2" s="126"/>
      <c r="F2" s="126"/>
      <c r="G2" s="126"/>
      <c r="H2" s="126"/>
      <c r="I2" s="126"/>
    </row>
    <row r="3" spans="1:9" ht="18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11" customHeight="1">
      <c r="A4" s="8" t="s">
        <v>0</v>
      </c>
      <c r="B4" s="9" t="s">
        <v>1</v>
      </c>
      <c r="C4" s="10" t="s">
        <v>120</v>
      </c>
      <c r="D4" s="10">
        <v>2017</v>
      </c>
      <c r="E4" s="10">
        <v>2016</v>
      </c>
      <c r="F4" s="10" t="s">
        <v>127</v>
      </c>
      <c r="G4" s="10" t="s">
        <v>125</v>
      </c>
      <c r="H4" s="11" t="s">
        <v>124</v>
      </c>
      <c r="I4" s="10" t="s">
        <v>2</v>
      </c>
    </row>
    <row r="5" spans="1:9" ht="18.75">
      <c r="A5" s="131" t="s">
        <v>3</v>
      </c>
      <c r="B5" s="132"/>
      <c r="C5" s="132"/>
      <c r="D5" s="132"/>
      <c r="E5" s="132"/>
      <c r="F5" s="132"/>
      <c r="G5" s="132"/>
      <c r="H5" s="132"/>
      <c r="I5" s="133"/>
    </row>
    <row r="6" spans="1:11" ht="39">
      <c r="A6" s="12" t="s">
        <v>112</v>
      </c>
      <c r="B6" s="13" t="s">
        <v>4</v>
      </c>
      <c r="C6" s="14">
        <f>C9+C13+C14+C15+C16+C17+C18+C19</f>
        <v>3429.8824999999997</v>
      </c>
      <c r="D6" s="14">
        <f>D9+D10+D11+D12+D13+D14+D15+D16+D17+D18+D19</f>
        <v>9823.18</v>
      </c>
      <c r="E6" s="14">
        <f>E9+E10+E11+E12+E13+E14+E15+E16+E17+E18+E19</f>
        <v>8893.7</v>
      </c>
      <c r="F6" s="14">
        <v>5036.156</v>
      </c>
      <c r="G6" s="97">
        <f>G13+G14+G15+G16+G17+G18+G19</f>
        <v>6311.877</v>
      </c>
      <c r="H6" s="14">
        <v>5877</v>
      </c>
      <c r="I6" s="15">
        <f>D6/E6*100</f>
        <v>110.45099339982234</v>
      </c>
      <c r="K6" s="98"/>
    </row>
    <row r="7" spans="1:9" ht="18.75" hidden="1">
      <c r="A7" s="16" t="s">
        <v>119</v>
      </c>
      <c r="B7" s="17"/>
      <c r="C7" s="18">
        <v>1744.643</v>
      </c>
      <c r="D7" s="18"/>
      <c r="E7" s="18"/>
      <c r="F7" s="18"/>
      <c r="G7" s="18"/>
      <c r="H7" s="18"/>
      <c r="I7" s="15" t="e">
        <f aca="true" t="shared" si="0" ref="I7:I27">D7/E7*100</f>
        <v>#DIV/0!</v>
      </c>
    </row>
    <row r="8" spans="1:9" ht="18.75">
      <c r="A8" s="19" t="s">
        <v>5</v>
      </c>
      <c r="B8" s="20"/>
      <c r="C8" s="21"/>
      <c r="D8" s="21">
        <f>9823.18-D9-D13-D14-D15-D16-D17-D18-D19</f>
        <v>0</v>
      </c>
      <c r="E8" s="21"/>
      <c r="F8" s="21"/>
      <c r="G8" s="21"/>
      <c r="H8" s="21"/>
      <c r="I8" s="15"/>
    </row>
    <row r="9" spans="1:9" ht="41.25" customHeight="1">
      <c r="A9" s="22" t="s">
        <v>96</v>
      </c>
      <c r="B9" s="23" t="s">
        <v>4</v>
      </c>
      <c r="C9" s="5"/>
      <c r="D9" s="5">
        <v>22.796</v>
      </c>
      <c r="E9" s="5">
        <v>0.472</v>
      </c>
      <c r="F9" s="21">
        <v>0.975</v>
      </c>
      <c r="G9" s="5"/>
      <c r="H9" s="5">
        <v>0.155</v>
      </c>
      <c r="I9" s="15">
        <f>D9/E9*100</f>
        <v>4829.661016949153</v>
      </c>
    </row>
    <row r="10" spans="1:9" ht="42.75" customHeight="1">
      <c r="A10" s="22" t="s">
        <v>116</v>
      </c>
      <c r="B10" s="23" t="s">
        <v>4</v>
      </c>
      <c r="C10" s="24"/>
      <c r="D10" s="24"/>
      <c r="E10" s="24"/>
      <c r="G10" s="24"/>
      <c r="H10" s="24"/>
      <c r="I10" s="15"/>
    </row>
    <row r="11" spans="1:9" ht="20.25" customHeight="1">
      <c r="A11" s="22" t="s">
        <v>117</v>
      </c>
      <c r="B11" s="23" t="s">
        <v>4</v>
      </c>
      <c r="C11" s="5"/>
      <c r="D11" s="5"/>
      <c r="E11" s="5"/>
      <c r="G11" s="5"/>
      <c r="H11" s="5"/>
      <c r="I11" s="15"/>
    </row>
    <row r="12" spans="1:9" ht="18.75">
      <c r="A12" s="22" t="s">
        <v>118</v>
      </c>
      <c r="B12" s="23" t="s">
        <v>4</v>
      </c>
      <c r="C12" s="5"/>
      <c r="D12" s="5"/>
      <c r="E12" s="5"/>
      <c r="G12" s="5"/>
      <c r="H12" s="5"/>
      <c r="I12" s="15"/>
    </row>
    <row r="13" spans="1:9" ht="18.75">
      <c r="A13" s="25" t="s">
        <v>72</v>
      </c>
      <c r="B13" s="23" t="s">
        <v>4</v>
      </c>
      <c r="C13" s="5">
        <v>414.97</v>
      </c>
      <c r="D13" s="5">
        <v>286.447</v>
      </c>
      <c r="E13" s="5">
        <v>287.07</v>
      </c>
      <c r="F13" s="24">
        <v>287.07</v>
      </c>
      <c r="G13" s="5">
        <v>603.478</v>
      </c>
      <c r="H13" s="5">
        <v>220.69</v>
      </c>
      <c r="I13" s="15">
        <f t="shared" si="0"/>
        <v>99.7829797610339</v>
      </c>
    </row>
    <row r="14" spans="1:9" ht="18.75">
      <c r="A14" s="25" t="s">
        <v>73</v>
      </c>
      <c r="B14" s="23" t="s">
        <v>4</v>
      </c>
      <c r="C14" s="5">
        <v>259.4</v>
      </c>
      <c r="D14" s="5">
        <v>903.715</v>
      </c>
      <c r="E14" s="5">
        <v>1065.3</v>
      </c>
      <c r="F14" s="5">
        <v>1002.66</v>
      </c>
      <c r="G14" s="5">
        <v>401.234</v>
      </c>
      <c r="H14" s="5">
        <f>897.385-605.703</f>
        <v>291.682</v>
      </c>
      <c r="I14" s="15">
        <f t="shared" si="0"/>
        <v>84.83197221439971</v>
      </c>
    </row>
    <row r="15" spans="1:9" ht="37.5" customHeight="1">
      <c r="A15" s="22" t="s">
        <v>99</v>
      </c>
      <c r="B15" s="23" t="s">
        <v>4</v>
      </c>
      <c r="C15" s="5">
        <v>397.6</v>
      </c>
      <c r="D15" s="5">
        <v>653.298</v>
      </c>
      <c r="E15" s="5">
        <v>581.673</v>
      </c>
      <c r="F15" s="5">
        <v>658.964</v>
      </c>
      <c r="G15" s="5">
        <v>521.365</v>
      </c>
      <c r="H15" s="5">
        <f>126.275+171.715+213.653</f>
        <v>511.64300000000003</v>
      </c>
      <c r="I15" s="15">
        <f t="shared" si="0"/>
        <v>112.31361950786783</v>
      </c>
    </row>
    <row r="16" spans="1:9" ht="41.25" customHeight="1">
      <c r="A16" s="22" t="s">
        <v>100</v>
      </c>
      <c r="B16" s="23" t="s">
        <v>4</v>
      </c>
      <c r="C16" s="5">
        <v>83.081</v>
      </c>
      <c r="D16" s="5">
        <v>94.353</v>
      </c>
      <c r="E16" s="5">
        <v>178.7</v>
      </c>
      <c r="F16" s="5">
        <v>0</v>
      </c>
      <c r="G16" s="5">
        <v>152.191</v>
      </c>
      <c r="H16" s="5">
        <f>677.95-H15</f>
        <v>166.30700000000002</v>
      </c>
      <c r="I16" s="15">
        <f t="shared" si="0"/>
        <v>52.799664241745944</v>
      </c>
    </row>
    <row r="17" spans="1:9" ht="18.75">
      <c r="A17" s="25" t="s">
        <v>82</v>
      </c>
      <c r="B17" s="23" t="s">
        <v>4</v>
      </c>
      <c r="C17" s="5">
        <v>27.849</v>
      </c>
      <c r="D17" s="5">
        <v>1979.733</v>
      </c>
      <c r="E17" s="5">
        <v>2630.784</v>
      </c>
      <c r="F17" s="4">
        <v>0.371</v>
      </c>
      <c r="G17" s="5">
        <v>1118.235</v>
      </c>
      <c r="H17" s="5">
        <v>1655.907</v>
      </c>
      <c r="I17" s="15">
        <f t="shared" si="0"/>
        <v>75.25258630126989</v>
      </c>
    </row>
    <row r="18" spans="1:9" ht="37.5">
      <c r="A18" s="22" t="s">
        <v>104</v>
      </c>
      <c r="B18" s="23" t="s">
        <v>4</v>
      </c>
      <c r="C18" s="5">
        <f>915.835*2-45.373*2</f>
        <v>1740.924</v>
      </c>
      <c r="D18" s="5">
        <v>3954.054</v>
      </c>
      <c r="E18" s="5">
        <v>3712.433</v>
      </c>
      <c r="F18" s="4">
        <v>10.387</v>
      </c>
      <c r="G18" s="5">
        <v>2792.988</v>
      </c>
      <c r="H18" s="5">
        <v>2599.3</v>
      </c>
      <c r="I18" s="15">
        <f t="shared" si="0"/>
        <v>106.50842722279432</v>
      </c>
    </row>
    <row r="19" spans="1:9" ht="18.75">
      <c r="A19" s="25" t="s">
        <v>78</v>
      </c>
      <c r="B19" s="23" t="s">
        <v>4</v>
      </c>
      <c r="C19" s="5">
        <f>13.477+62.593+163.103+131.79+45.373*2+1.5403+2.7452+40.064</f>
        <v>506.0585</v>
      </c>
      <c r="D19" s="5">
        <v>1928.784</v>
      </c>
      <c r="E19" s="5">
        <v>437.268</v>
      </c>
      <c r="F19" s="4">
        <f>F6-F9-F13-F14-F15-F16-F17-F18</f>
        <v>3075.729</v>
      </c>
      <c r="G19" s="5">
        <f>16.492+141.5+5.34+48.979+90.205+242.917+19.574+157.379</f>
        <v>722.386</v>
      </c>
      <c r="H19" s="5">
        <v>431.3</v>
      </c>
      <c r="I19" s="15">
        <f t="shared" si="0"/>
        <v>441.0988226899751</v>
      </c>
    </row>
    <row r="20" spans="1:9" ht="39">
      <c r="A20" s="26" t="s">
        <v>6</v>
      </c>
      <c r="B20" s="23" t="s">
        <v>7</v>
      </c>
      <c r="C20" s="27">
        <f>C6/39455*1000</f>
        <v>86.9315042453428</v>
      </c>
      <c r="D20" s="27">
        <f>D6/D79*1000</f>
        <v>249.20543913947944</v>
      </c>
      <c r="E20" s="27">
        <f>E6/E79*1000</f>
        <v>225.41376251425677</v>
      </c>
      <c r="F20" s="5">
        <v>127.28172466954786</v>
      </c>
      <c r="G20" s="27">
        <f>G6/39455*1000</f>
        <v>159.97660626029656</v>
      </c>
      <c r="H20" s="27">
        <f>H6/39672*1000</f>
        <v>148.13974591651544</v>
      </c>
      <c r="I20" s="15">
        <f t="shared" si="0"/>
        <v>110.55466904941879</v>
      </c>
    </row>
    <row r="21" spans="1:9" ht="19.5">
      <c r="A21" s="26" t="s">
        <v>84</v>
      </c>
      <c r="B21" s="23" t="s">
        <v>4</v>
      </c>
      <c r="C21" s="5">
        <v>0.543</v>
      </c>
      <c r="D21" s="117">
        <v>40.788</v>
      </c>
      <c r="E21" s="5">
        <v>43.179</v>
      </c>
      <c r="F21" s="5">
        <v>43.179</v>
      </c>
      <c r="G21" s="5">
        <v>14.033</v>
      </c>
      <c r="H21" s="5">
        <v>17.142</v>
      </c>
      <c r="I21" s="15">
        <f t="shared" si="0"/>
        <v>94.46258597929548</v>
      </c>
    </row>
    <row r="22" spans="1:9" ht="19.5">
      <c r="A22" s="26" t="s">
        <v>8</v>
      </c>
      <c r="B22" s="23" t="s">
        <v>4</v>
      </c>
      <c r="C22" s="5">
        <v>0.431</v>
      </c>
      <c r="D22" s="117">
        <v>11.428</v>
      </c>
      <c r="E22" s="5">
        <v>3.243</v>
      </c>
      <c r="F22" s="5">
        <v>3.243</v>
      </c>
      <c r="G22" s="5">
        <v>0.38</v>
      </c>
      <c r="H22" s="5">
        <v>1.56</v>
      </c>
      <c r="I22" s="15">
        <f t="shared" si="0"/>
        <v>352.38976256552576</v>
      </c>
    </row>
    <row r="23" spans="1:9" ht="19.5">
      <c r="A23" s="26" t="s">
        <v>9</v>
      </c>
      <c r="B23" s="23" t="s">
        <v>10</v>
      </c>
      <c r="C23" s="28"/>
      <c r="D23" s="5">
        <v>78.4</v>
      </c>
      <c r="E23" s="5">
        <v>87.5</v>
      </c>
      <c r="F23" s="27">
        <v>87.5</v>
      </c>
      <c r="G23" s="28"/>
      <c r="H23" s="5"/>
      <c r="I23" s="15">
        <f t="shared" si="0"/>
        <v>89.60000000000001</v>
      </c>
    </row>
    <row r="24" spans="1:9" ht="19.5">
      <c r="A24" s="26" t="s">
        <v>11</v>
      </c>
      <c r="B24" s="23" t="s">
        <v>10</v>
      </c>
      <c r="C24" s="28"/>
      <c r="D24" s="5">
        <v>21.6</v>
      </c>
      <c r="E24" s="5">
        <v>12.5</v>
      </c>
      <c r="F24" s="5">
        <v>12.5</v>
      </c>
      <c r="G24" s="28"/>
      <c r="H24" s="5"/>
      <c r="I24" s="15">
        <f t="shared" si="0"/>
        <v>172.8</v>
      </c>
    </row>
    <row r="25" spans="1:9" ht="58.5">
      <c r="A25" s="26" t="s">
        <v>12</v>
      </c>
      <c r="B25" s="23" t="s">
        <v>4</v>
      </c>
      <c r="C25" s="5">
        <v>343.93</v>
      </c>
      <c r="D25" s="78">
        <v>344760.09</v>
      </c>
      <c r="E25" s="78">
        <v>309894.19</v>
      </c>
      <c r="F25" s="5">
        <v>309.8</v>
      </c>
      <c r="G25" s="5">
        <v>346.48</v>
      </c>
      <c r="H25" s="5">
        <v>308.3</v>
      </c>
      <c r="I25" s="15">
        <f t="shared" si="0"/>
        <v>111.25090470395718</v>
      </c>
    </row>
    <row r="26" spans="1:9" ht="58.5">
      <c r="A26" s="26" t="s">
        <v>13</v>
      </c>
      <c r="B26" s="23" t="s">
        <v>4</v>
      </c>
      <c r="C26" s="5">
        <v>154.3</v>
      </c>
      <c r="D26" s="78">
        <v>343239.89</v>
      </c>
      <c r="E26" s="78">
        <v>328538.09</v>
      </c>
      <c r="F26" s="5">
        <v>328.5</v>
      </c>
      <c r="G26" s="5">
        <v>236.57</v>
      </c>
      <c r="H26" s="5">
        <v>223.2</v>
      </c>
      <c r="I26" s="15">
        <f t="shared" si="0"/>
        <v>104.47491491778015</v>
      </c>
    </row>
    <row r="27" spans="1:9" ht="58.5">
      <c r="A27" s="26" t="s">
        <v>85</v>
      </c>
      <c r="B27" s="23" t="s">
        <v>7</v>
      </c>
      <c r="C27" s="29">
        <v>6.488</v>
      </c>
      <c r="D27" s="107">
        <f>774736.43/D79</f>
        <v>19.654382008219596</v>
      </c>
      <c r="E27" s="107">
        <f>613317.565/E79</f>
        <v>15.54473615511342</v>
      </c>
      <c r="F27" s="28">
        <v>15459.71</v>
      </c>
      <c r="G27" s="29">
        <v>12.684</v>
      </c>
      <c r="H27" s="29">
        <v>8.548</v>
      </c>
      <c r="I27" s="15">
        <f t="shared" si="0"/>
        <v>126.43754009137244</v>
      </c>
    </row>
    <row r="28" spans="1:9" ht="18.75">
      <c r="A28" s="131" t="s">
        <v>15</v>
      </c>
      <c r="B28" s="132"/>
      <c r="C28" s="134"/>
      <c r="D28" s="134"/>
      <c r="E28" s="134"/>
      <c r="F28" s="134"/>
      <c r="G28" s="134"/>
      <c r="H28" s="134"/>
      <c r="I28" s="135"/>
    </row>
    <row r="29" spans="1:9" ht="18.75">
      <c r="A29" s="30" t="s">
        <v>105</v>
      </c>
      <c r="B29" s="31"/>
      <c r="C29" s="32"/>
      <c r="D29" s="32"/>
      <c r="E29" s="32"/>
      <c r="F29" s="32"/>
      <c r="G29" s="32"/>
      <c r="H29" s="32"/>
      <c r="I29" s="33"/>
    </row>
    <row r="30" spans="1:9" ht="37.5">
      <c r="A30" s="1" t="s">
        <v>110</v>
      </c>
      <c r="B30" s="9" t="s">
        <v>4</v>
      </c>
      <c r="C30" s="34">
        <f>C33+C36+C39+C42</f>
        <v>1161.6579000000002</v>
      </c>
      <c r="D30" s="34">
        <f>D33+D36+D39+D42</f>
        <v>2005.5460000000003</v>
      </c>
      <c r="E30" s="34">
        <f>E33+E36+E39+E42</f>
        <v>2003.8100000000002</v>
      </c>
      <c r="F30" s="34"/>
      <c r="G30" s="34" t="e">
        <f>G33+G36+G39+G42</f>
        <v>#REF!</v>
      </c>
      <c r="H30" s="34">
        <f>H33+H36+H39</f>
        <v>1062.9299999999998</v>
      </c>
      <c r="I30" s="15">
        <f aca="true" t="shared" si="1" ref="I30:I93">D30/E30*100</f>
        <v>100.08663496040045</v>
      </c>
    </row>
    <row r="31" spans="1:9" ht="18.75">
      <c r="A31" s="1" t="s">
        <v>111</v>
      </c>
      <c r="B31" s="20" t="s">
        <v>10</v>
      </c>
      <c r="C31" s="35">
        <v>91.2</v>
      </c>
      <c r="D31" s="35">
        <v>103.4</v>
      </c>
      <c r="E31" s="35">
        <v>110.21</v>
      </c>
      <c r="F31" s="35"/>
      <c r="G31" s="35">
        <v>97.1</v>
      </c>
      <c r="H31" s="35">
        <v>117.41</v>
      </c>
      <c r="I31" s="15">
        <f t="shared" si="1"/>
        <v>93.82088739678795</v>
      </c>
    </row>
    <row r="32" spans="1:9" ht="18.75">
      <c r="A32" s="36" t="s">
        <v>90</v>
      </c>
      <c r="B32" s="13"/>
      <c r="C32" s="37"/>
      <c r="D32" s="37"/>
      <c r="E32" s="37"/>
      <c r="F32" s="37"/>
      <c r="G32" s="37"/>
      <c r="H32" s="37"/>
      <c r="I32" s="15"/>
    </row>
    <row r="33" spans="1:9" ht="37.5">
      <c r="A33" s="1" t="s">
        <v>16</v>
      </c>
      <c r="B33" s="20" t="s">
        <v>4</v>
      </c>
      <c r="C33" s="21">
        <v>414.97</v>
      </c>
      <c r="D33" s="21">
        <v>292.87</v>
      </c>
      <c r="E33" s="21">
        <v>271.95</v>
      </c>
      <c r="F33" s="21"/>
      <c r="G33" s="38" t="e">
        <f>#REF!</f>
        <v>#REF!</v>
      </c>
      <c r="H33" s="38">
        <v>266.08</v>
      </c>
      <c r="I33" s="15">
        <f t="shared" si="1"/>
        <v>107.69259054973341</v>
      </c>
    </row>
    <row r="34" spans="1:9" ht="18.75">
      <c r="A34" s="1" t="s">
        <v>102</v>
      </c>
      <c r="B34" s="20" t="s">
        <v>10</v>
      </c>
      <c r="C34" s="21">
        <v>86.3</v>
      </c>
      <c r="D34" s="21">
        <v>104.72</v>
      </c>
      <c r="E34" s="21">
        <v>118.39</v>
      </c>
      <c r="F34" s="21"/>
      <c r="G34" s="38">
        <v>91.56</v>
      </c>
      <c r="H34" s="38">
        <v>141.79</v>
      </c>
      <c r="I34" s="15">
        <f>D34-E34</f>
        <v>-13.670000000000002</v>
      </c>
    </row>
    <row r="35" spans="1:9" ht="18.75">
      <c r="A35" s="36" t="s">
        <v>91</v>
      </c>
      <c r="B35" s="13"/>
      <c r="C35" s="14"/>
      <c r="D35" s="14"/>
      <c r="E35" s="14"/>
      <c r="F35" s="14"/>
      <c r="G35" s="37"/>
      <c r="H35" s="37"/>
      <c r="I35" s="15"/>
    </row>
    <row r="36" spans="1:9" ht="37.5">
      <c r="A36" s="1" t="s">
        <v>16</v>
      </c>
      <c r="B36" s="20" t="s">
        <v>4</v>
      </c>
      <c r="C36" s="21">
        <v>258.5</v>
      </c>
      <c r="D36" s="118">
        <v>882.176</v>
      </c>
      <c r="E36" s="118">
        <v>942.78</v>
      </c>
      <c r="F36" s="21"/>
      <c r="G36" s="38" t="e">
        <f>#REF!</f>
        <v>#REF!</v>
      </c>
      <c r="H36" s="38">
        <f>868.15-605.7</f>
        <v>262.44999999999993</v>
      </c>
      <c r="I36" s="15">
        <f t="shared" si="1"/>
        <v>93.57177708479179</v>
      </c>
    </row>
    <row r="37" spans="1:9" ht="18.75">
      <c r="A37" s="1" t="s">
        <v>102</v>
      </c>
      <c r="B37" s="20" t="s">
        <v>10</v>
      </c>
      <c r="C37" s="21">
        <v>88.72</v>
      </c>
      <c r="D37" s="21">
        <v>72.11</v>
      </c>
      <c r="E37" s="21">
        <v>99.38</v>
      </c>
      <c r="F37" s="21"/>
      <c r="G37" s="38">
        <v>100.86</v>
      </c>
      <c r="H37" s="38">
        <v>92.5</v>
      </c>
      <c r="I37" s="15">
        <f>D37-E37</f>
        <v>-27.269999999999996</v>
      </c>
    </row>
    <row r="38" spans="1:9" ht="37.5">
      <c r="A38" s="36" t="s">
        <v>92</v>
      </c>
      <c r="B38" s="13"/>
      <c r="C38" s="14"/>
      <c r="D38" s="14"/>
      <c r="E38" s="14"/>
      <c r="F38" s="14"/>
      <c r="G38" s="37"/>
      <c r="H38" s="37"/>
      <c r="I38" s="15"/>
    </row>
    <row r="39" spans="1:9" ht="37.5">
      <c r="A39" s="1" t="s">
        <v>83</v>
      </c>
      <c r="B39" s="20" t="s">
        <v>4</v>
      </c>
      <c r="C39" s="21">
        <v>403.0869</v>
      </c>
      <c r="D39" s="118">
        <v>658.6</v>
      </c>
      <c r="E39" s="120">
        <v>610.38</v>
      </c>
      <c r="F39" s="21"/>
      <c r="G39" s="38">
        <v>523.4</v>
      </c>
      <c r="H39" s="38">
        <v>534.4</v>
      </c>
      <c r="I39" s="15">
        <f t="shared" si="1"/>
        <v>107.89999672335267</v>
      </c>
    </row>
    <row r="40" spans="1:9" ht="18.75">
      <c r="A40" s="39" t="s">
        <v>102</v>
      </c>
      <c r="B40" s="23" t="s">
        <v>10</v>
      </c>
      <c r="C40" s="5">
        <v>95.3</v>
      </c>
      <c r="D40" s="5">
        <v>108.69</v>
      </c>
      <c r="E40" s="5">
        <v>118.91</v>
      </c>
      <c r="F40" s="5"/>
      <c r="G40" s="28">
        <v>101.63</v>
      </c>
      <c r="H40" s="28">
        <v>144.1</v>
      </c>
      <c r="I40" s="15">
        <f>D40-E40</f>
        <v>-10.219999999999999</v>
      </c>
    </row>
    <row r="41" spans="1:9" ht="56.25">
      <c r="A41" s="36" t="s">
        <v>95</v>
      </c>
      <c r="B41" s="13"/>
      <c r="C41" s="14"/>
      <c r="D41" s="14"/>
      <c r="E41" s="14"/>
      <c r="F41" s="14"/>
      <c r="G41" s="37"/>
      <c r="H41" s="37"/>
      <c r="I41" s="15"/>
    </row>
    <row r="42" spans="1:9" ht="37.5">
      <c r="A42" s="1" t="s">
        <v>83</v>
      </c>
      <c r="B42" s="20" t="s">
        <v>4</v>
      </c>
      <c r="C42" s="21">
        <v>85.101</v>
      </c>
      <c r="D42" s="119">
        <v>171.9</v>
      </c>
      <c r="E42" s="119">
        <v>178.7</v>
      </c>
      <c r="F42" s="21"/>
      <c r="G42" s="38" t="e">
        <f>#REF!</f>
        <v>#REF!</v>
      </c>
      <c r="H42" s="38">
        <v>169.3</v>
      </c>
      <c r="I42" s="15">
        <f t="shared" si="1"/>
        <v>96.19473978735311</v>
      </c>
    </row>
    <row r="43" spans="1:9" ht="37.5">
      <c r="A43" s="40" t="s">
        <v>107</v>
      </c>
      <c r="B43" s="41"/>
      <c r="C43" s="42"/>
      <c r="D43" s="42"/>
      <c r="E43" s="42"/>
      <c r="F43" s="42"/>
      <c r="G43" s="42"/>
      <c r="H43" s="42"/>
      <c r="I43" s="15"/>
    </row>
    <row r="44" spans="1:9" ht="18.75">
      <c r="A44" s="3" t="s">
        <v>17</v>
      </c>
      <c r="B44" s="17" t="s">
        <v>4</v>
      </c>
      <c r="C44" s="43"/>
      <c r="D44" s="113">
        <v>0</v>
      </c>
      <c r="E44" s="113">
        <v>0.472</v>
      </c>
      <c r="F44" s="43"/>
      <c r="G44" s="43"/>
      <c r="H44" s="43"/>
      <c r="I44" s="15"/>
    </row>
    <row r="45" spans="1:9" ht="18.75">
      <c r="A45" s="44" t="s">
        <v>106</v>
      </c>
      <c r="B45" s="45" t="s">
        <v>10</v>
      </c>
      <c r="C45" s="46"/>
      <c r="D45" s="122"/>
      <c r="E45" s="123">
        <v>101.2</v>
      </c>
      <c r="F45" s="46"/>
      <c r="G45" s="46"/>
      <c r="H45" s="46"/>
      <c r="I45" s="15"/>
    </row>
    <row r="46" spans="1:9" ht="18.75">
      <c r="A46" s="47" t="s">
        <v>108</v>
      </c>
      <c r="B46" s="48"/>
      <c r="C46" s="37"/>
      <c r="D46" s="37"/>
      <c r="E46" s="37"/>
      <c r="F46" s="37"/>
      <c r="G46" s="37"/>
      <c r="H46" s="37"/>
      <c r="I46" s="15"/>
    </row>
    <row r="47" spans="1:9" ht="18.75">
      <c r="A47" s="49" t="s">
        <v>18</v>
      </c>
      <c r="B47" s="20" t="s">
        <v>4</v>
      </c>
      <c r="C47" s="50"/>
      <c r="D47" s="96">
        <v>2157.53</v>
      </c>
      <c r="E47" s="96">
        <v>3104.325</v>
      </c>
      <c r="F47" s="50"/>
      <c r="G47" s="96">
        <v>1118.235</v>
      </c>
      <c r="H47" s="96">
        <v>1953.346</v>
      </c>
      <c r="I47" s="15">
        <f t="shared" si="1"/>
        <v>69.50077714156862</v>
      </c>
    </row>
    <row r="48" spans="1:9" ht="18.75">
      <c r="A48" s="49" t="s">
        <v>19</v>
      </c>
      <c r="B48" s="20" t="s">
        <v>20</v>
      </c>
      <c r="C48" s="51">
        <v>3060</v>
      </c>
      <c r="D48" s="51">
        <v>8261</v>
      </c>
      <c r="E48" s="51">
        <v>17736</v>
      </c>
      <c r="F48" s="51"/>
      <c r="G48" s="51">
        <v>4618</v>
      </c>
      <c r="H48" s="51">
        <v>5324</v>
      </c>
      <c r="I48" s="15">
        <f t="shared" si="1"/>
        <v>46.57758231844835</v>
      </c>
    </row>
    <row r="49" spans="1:9" ht="18.75">
      <c r="A49" s="44" t="s">
        <v>21</v>
      </c>
      <c r="B49" s="45" t="s">
        <v>20</v>
      </c>
      <c r="C49" s="52">
        <v>0.07755671017615004</v>
      </c>
      <c r="D49" s="52">
        <f>D48/D79</f>
        <v>0.2095743061545487</v>
      </c>
      <c r="E49" s="52">
        <f>E48/E79</f>
        <v>0.44952477506019517</v>
      </c>
      <c r="F49" s="52"/>
      <c r="G49" s="52">
        <f>G48/39455</f>
        <v>0.11704473450766696</v>
      </c>
      <c r="H49" s="52">
        <v>0.13</v>
      </c>
      <c r="I49" s="15">
        <f t="shared" si="1"/>
        <v>46.62130271384595</v>
      </c>
    </row>
    <row r="50" spans="1:9" ht="18.75">
      <c r="A50" s="2" t="s">
        <v>109</v>
      </c>
      <c r="B50" s="53"/>
      <c r="C50" s="54"/>
      <c r="D50" s="54"/>
      <c r="E50" s="54"/>
      <c r="F50" s="54"/>
      <c r="G50" s="54"/>
      <c r="H50" s="54"/>
      <c r="I50" s="15"/>
    </row>
    <row r="51" spans="1:9" ht="18.75">
      <c r="A51" s="49" t="s">
        <v>22</v>
      </c>
      <c r="B51" s="20" t="s">
        <v>23</v>
      </c>
      <c r="C51" s="21">
        <v>0.0435</v>
      </c>
      <c r="D51" s="21">
        <v>44.4</v>
      </c>
      <c r="E51" s="21">
        <v>54.2</v>
      </c>
      <c r="F51" s="21"/>
      <c r="G51" s="21">
        <v>72.7</v>
      </c>
      <c r="H51" s="21">
        <v>62.5</v>
      </c>
      <c r="I51" s="15">
        <f t="shared" si="1"/>
        <v>81.91881918819188</v>
      </c>
    </row>
    <row r="52" spans="1:9" ht="37.5">
      <c r="A52" s="3" t="s">
        <v>24</v>
      </c>
      <c r="B52" s="55" t="s">
        <v>25</v>
      </c>
      <c r="C52" s="18">
        <f>615.35+8200</f>
        <v>8815.35</v>
      </c>
      <c r="D52" s="18">
        <v>9185.2</v>
      </c>
      <c r="E52" s="18">
        <v>8892.3</v>
      </c>
      <c r="F52" s="18"/>
      <c r="G52" s="18">
        <v>13793</v>
      </c>
      <c r="H52" s="18">
        <v>15334</v>
      </c>
      <c r="I52" s="15">
        <f t="shared" si="1"/>
        <v>103.2938609808486</v>
      </c>
    </row>
    <row r="53" spans="1:9" ht="37.5">
      <c r="A53" s="47" t="s">
        <v>101</v>
      </c>
      <c r="B53" s="48"/>
      <c r="C53" s="37"/>
      <c r="D53" s="37"/>
      <c r="E53" s="37"/>
      <c r="F53" s="37"/>
      <c r="G53" s="37"/>
      <c r="H53" s="37"/>
      <c r="I53" s="15"/>
    </row>
    <row r="54" spans="1:9" ht="18.75">
      <c r="A54" s="49" t="s">
        <v>26</v>
      </c>
      <c r="B54" s="20" t="s">
        <v>4</v>
      </c>
      <c r="C54" s="21">
        <f>915.835*2</f>
        <v>1831.67</v>
      </c>
      <c r="D54" s="21">
        <v>3954.054</v>
      </c>
      <c r="E54" s="21">
        <v>3712.433</v>
      </c>
      <c r="F54" s="21"/>
      <c r="G54" s="21">
        <f>1861.99/6*9</f>
        <v>2792.9849999999997</v>
      </c>
      <c r="H54" s="21">
        <v>2599.3</v>
      </c>
      <c r="I54" s="15">
        <f t="shared" si="1"/>
        <v>106.50842722279432</v>
      </c>
    </row>
    <row r="55" spans="1:9" ht="18.75">
      <c r="A55" s="44" t="s">
        <v>27</v>
      </c>
      <c r="B55" s="45" t="s">
        <v>10</v>
      </c>
      <c r="C55" s="56">
        <v>103.4</v>
      </c>
      <c r="D55" s="56"/>
      <c r="E55" s="56"/>
      <c r="F55" s="56"/>
      <c r="G55" s="56">
        <v>105.3</v>
      </c>
      <c r="H55" s="56">
        <v>95.1</v>
      </c>
      <c r="I55" s="15"/>
    </row>
    <row r="56" spans="1:9" ht="18.75">
      <c r="A56" s="47" t="s">
        <v>28</v>
      </c>
      <c r="B56" s="48"/>
      <c r="C56" s="37"/>
      <c r="D56" s="37"/>
      <c r="E56" s="37"/>
      <c r="F56" s="37"/>
      <c r="G56" s="37"/>
      <c r="H56" s="37"/>
      <c r="I56" s="15"/>
    </row>
    <row r="57" spans="1:9" ht="18.75">
      <c r="A57" s="49" t="s">
        <v>29</v>
      </c>
      <c r="B57" s="20" t="s">
        <v>30</v>
      </c>
      <c r="C57" s="21">
        <v>313</v>
      </c>
      <c r="D57" s="21">
        <v>325</v>
      </c>
      <c r="E57" s="118">
        <v>313</v>
      </c>
      <c r="F57" s="118"/>
      <c r="G57" s="118">
        <v>319</v>
      </c>
      <c r="H57" s="118">
        <v>302</v>
      </c>
      <c r="I57" s="121">
        <f t="shared" si="1"/>
        <v>103.8338658146965</v>
      </c>
    </row>
    <row r="58" spans="1:9" ht="37.5">
      <c r="A58" s="44" t="s">
        <v>31</v>
      </c>
      <c r="B58" s="45" t="s">
        <v>10</v>
      </c>
      <c r="C58" s="57">
        <f>955.9/C6*100</f>
        <v>27.869759386801153</v>
      </c>
      <c r="D58" s="57">
        <f>1814.64/D6*100</f>
        <v>18.473040298559123</v>
      </c>
      <c r="E58" s="57">
        <f>1779.06/E6*100</f>
        <v>20.003598052554054</v>
      </c>
      <c r="F58" s="57"/>
      <c r="G58" s="57">
        <f>1367.1/G6*100</f>
        <v>21.659167312671013</v>
      </c>
      <c r="H58" s="57">
        <v>22.8</v>
      </c>
      <c r="I58" s="15">
        <f>D58-E58</f>
        <v>-1.5305577539949304</v>
      </c>
    </row>
    <row r="59" spans="1:9" ht="19.5">
      <c r="A59" s="12" t="s">
        <v>93</v>
      </c>
      <c r="B59" s="17" t="s">
        <v>7</v>
      </c>
      <c r="C59" s="58">
        <v>27804</v>
      </c>
      <c r="D59" s="114">
        <v>179486</v>
      </c>
      <c r="E59" s="114">
        <v>701256</v>
      </c>
      <c r="F59" s="58"/>
      <c r="G59" s="58">
        <v>24626</v>
      </c>
      <c r="H59" s="58">
        <v>240749</v>
      </c>
      <c r="I59" s="15">
        <f>D59/E59*100</f>
        <v>25.59493252107647</v>
      </c>
    </row>
    <row r="60" spans="1:9" ht="18.75">
      <c r="A60" s="59" t="s">
        <v>32</v>
      </c>
      <c r="B60" s="60" t="s">
        <v>7</v>
      </c>
      <c r="C60" s="61">
        <v>13668</v>
      </c>
      <c r="D60" s="115">
        <v>77292</v>
      </c>
      <c r="E60" s="61">
        <f>12507+94681</f>
        <v>107188</v>
      </c>
      <c r="F60" s="61"/>
      <c r="G60" s="61">
        <v>12065</v>
      </c>
      <c r="H60" s="46"/>
      <c r="I60" s="15">
        <f t="shared" si="1"/>
        <v>72.10881815128559</v>
      </c>
    </row>
    <row r="61" spans="1:9" ht="18.75">
      <c r="A61" s="136" t="s">
        <v>114</v>
      </c>
      <c r="B61" s="134"/>
      <c r="C61" s="134"/>
      <c r="D61" s="134"/>
      <c r="E61" s="134"/>
      <c r="F61" s="134"/>
      <c r="G61" s="134"/>
      <c r="H61" s="134"/>
      <c r="I61" s="135"/>
    </row>
    <row r="62" spans="1:9" ht="78">
      <c r="A62" s="12" t="s">
        <v>33</v>
      </c>
      <c r="B62" s="17" t="s">
        <v>44</v>
      </c>
      <c r="C62" s="55"/>
      <c r="D62" s="55">
        <f>(441/1000)-(537/1000)</f>
        <v>-0.09600000000000003</v>
      </c>
      <c r="E62" s="55">
        <f>(443/1000)-(632/1000)</f>
        <v>-0.189</v>
      </c>
      <c r="F62" s="55"/>
      <c r="G62" s="55"/>
      <c r="H62" s="55"/>
      <c r="I62" s="15">
        <f t="shared" si="1"/>
        <v>50.79365079365081</v>
      </c>
    </row>
    <row r="63" spans="1:9" ht="19.5">
      <c r="A63" s="26" t="s">
        <v>34</v>
      </c>
      <c r="B63" s="62"/>
      <c r="C63" s="24"/>
      <c r="D63" s="24"/>
      <c r="E63" s="24"/>
      <c r="F63" s="24"/>
      <c r="G63" s="24"/>
      <c r="H63" s="24"/>
      <c r="I63" s="15"/>
    </row>
    <row r="64" spans="1:9" ht="18.75">
      <c r="A64" s="22" t="s">
        <v>35</v>
      </c>
      <c r="B64" s="23" t="s">
        <v>36</v>
      </c>
      <c r="C64" s="24"/>
      <c r="D64" s="24">
        <v>17.887</v>
      </c>
      <c r="E64" s="24">
        <v>17.986</v>
      </c>
      <c r="F64" s="24"/>
      <c r="G64" s="24"/>
      <c r="H64" s="24"/>
      <c r="I64" s="15">
        <f t="shared" si="1"/>
        <v>99.4495718892472</v>
      </c>
    </row>
    <row r="65" spans="1:9" ht="18.75">
      <c r="A65" s="24" t="s">
        <v>37</v>
      </c>
      <c r="B65" s="23" t="s">
        <v>10</v>
      </c>
      <c r="C65" s="24"/>
      <c r="D65" s="24">
        <v>45.34</v>
      </c>
      <c r="E65" s="24">
        <v>45.34</v>
      </c>
      <c r="F65" s="24"/>
      <c r="G65" s="24"/>
      <c r="H65" s="24"/>
      <c r="I65" s="15">
        <f t="shared" si="1"/>
        <v>100</v>
      </c>
    </row>
    <row r="66" spans="1:9" ht="18.75">
      <c r="A66" s="22" t="s">
        <v>38</v>
      </c>
      <c r="B66" s="23" t="s">
        <v>36</v>
      </c>
      <c r="C66" s="24"/>
      <c r="D66" s="24">
        <v>21.568</v>
      </c>
      <c r="E66" s="24">
        <v>21.686</v>
      </c>
      <c r="F66" s="24"/>
      <c r="G66" s="24"/>
      <c r="H66" s="24"/>
      <c r="I66" s="15">
        <f t="shared" si="1"/>
        <v>99.45587014663839</v>
      </c>
    </row>
    <row r="67" spans="1:9" ht="21.75" customHeight="1">
      <c r="A67" s="22" t="s">
        <v>39</v>
      </c>
      <c r="B67" s="23" t="s">
        <v>10</v>
      </c>
      <c r="C67" s="24"/>
      <c r="D67" s="24">
        <v>54.66</v>
      </c>
      <c r="E67" s="24">
        <v>54.66</v>
      </c>
      <c r="F67" s="24"/>
      <c r="G67" s="24"/>
      <c r="H67" s="24"/>
      <c r="I67" s="15">
        <f t="shared" si="1"/>
        <v>100</v>
      </c>
    </row>
    <row r="68" spans="1:9" ht="19.5">
      <c r="A68" s="26" t="s">
        <v>40</v>
      </c>
      <c r="B68" s="23"/>
      <c r="C68" s="24"/>
      <c r="D68" s="24"/>
      <c r="E68" s="24"/>
      <c r="F68" s="24"/>
      <c r="G68" s="24"/>
      <c r="H68" s="24"/>
      <c r="I68" s="15"/>
    </row>
    <row r="69" spans="1:9" ht="18.75">
      <c r="A69" s="22" t="s">
        <v>41</v>
      </c>
      <c r="B69" s="23" t="s">
        <v>36</v>
      </c>
      <c r="C69" s="24"/>
      <c r="D69" s="24">
        <v>9.449</v>
      </c>
      <c r="E69" s="24">
        <v>9.408</v>
      </c>
      <c r="F69" s="24"/>
      <c r="G69" s="24"/>
      <c r="H69" s="24"/>
      <c r="I69" s="15">
        <f t="shared" si="1"/>
        <v>100.4357993197279</v>
      </c>
    </row>
    <row r="70" spans="1:9" ht="18.75">
      <c r="A70" s="24" t="s">
        <v>37</v>
      </c>
      <c r="B70" s="23" t="s">
        <v>10</v>
      </c>
      <c r="C70" s="24"/>
      <c r="D70" s="24">
        <v>23.95</v>
      </c>
      <c r="E70" s="24">
        <v>23.71</v>
      </c>
      <c r="F70" s="24"/>
      <c r="G70" s="24"/>
      <c r="H70" s="24"/>
      <c r="I70" s="112">
        <f>D70-E70</f>
        <v>0.23999999999999844</v>
      </c>
    </row>
    <row r="71" spans="1:9" ht="18.75">
      <c r="A71" s="22" t="s">
        <v>42</v>
      </c>
      <c r="B71" s="23" t="s">
        <v>36</v>
      </c>
      <c r="C71" s="24"/>
      <c r="D71" s="24">
        <v>20.221</v>
      </c>
      <c r="E71" s="24">
        <v>20.591</v>
      </c>
      <c r="F71" s="24"/>
      <c r="G71" s="24"/>
      <c r="H71" s="24"/>
      <c r="I71" s="15">
        <f t="shared" si="1"/>
        <v>98.20309844106649</v>
      </c>
    </row>
    <row r="72" spans="1:9" ht="18.75">
      <c r="A72" s="24" t="s">
        <v>37</v>
      </c>
      <c r="B72" s="23" t="s">
        <v>10</v>
      </c>
      <c r="C72" s="24"/>
      <c r="D72" s="24">
        <v>51.25</v>
      </c>
      <c r="E72" s="24">
        <v>51.9</v>
      </c>
      <c r="F72" s="24"/>
      <c r="G72" s="24"/>
      <c r="H72" s="24"/>
      <c r="I72" s="112">
        <f>D72-E72</f>
        <v>-0.6499999999999986</v>
      </c>
    </row>
    <row r="73" spans="1:9" ht="18.75">
      <c r="A73" s="22" t="s">
        <v>43</v>
      </c>
      <c r="B73" s="23" t="s">
        <v>36</v>
      </c>
      <c r="C73" s="24"/>
      <c r="D73" s="24">
        <v>9.785</v>
      </c>
      <c r="E73" s="24">
        <v>9.673</v>
      </c>
      <c r="F73" s="24"/>
      <c r="G73" s="24"/>
      <c r="H73" s="24"/>
      <c r="I73" s="15">
        <f t="shared" si="1"/>
        <v>101.1578620903546</v>
      </c>
    </row>
    <row r="74" spans="1:9" ht="18.75">
      <c r="A74" s="24" t="s">
        <v>37</v>
      </c>
      <c r="B74" s="23" t="s">
        <v>10</v>
      </c>
      <c r="C74" s="24"/>
      <c r="D74" s="24">
        <v>24.8</v>
      </c>
      <c r="E74" s="24">
        <v>24.38</v>
      </c>
      <c r="F74" s="24"/>
      <c r="G74" s="24"/>
      <c r="H74" s="24"/>
      <c r="I74" s="112">
        <f>D74-E74</f>
        <v>0.4200000000000017</v>
      </c>
    </row>
    <row r="75" spans="1:9" ht="39">
      <c r="A75" s="26" t="s">
        <v>87</v>
      </c>
      <c r="B75" s="23" t="s">
        <v>44</v>
      </c>
      <c r="C75" s="24"/>
      <c r="D75" s="24">
        <f>(227+184)-(171+112)</f>
        <v>128</v>
      </c>
      <c r="E75" s="24">
        <f>(215+155)-(181+105)</f>
        <v>84</v>
      </c>
      <c r="F75" s="24"/>
      <c r="G75" s="24"/>
      <c r="H75" s="24"/>
      <c r="I75" s="15">
        <f t="shared" si="1"/>
        <v>152.38095238095238</v>
      </c>
    </row>
    <row r="76" spans="1:9" ht="39">
      <c r="A76" s="26" t="s">
        <v>45</v>
      </c>
      <c r="B76" s="23" t="s">
        <v>10</v>
      </c>
      <c r="C76" s="24"/>
      <c r="D76" s="24">
        <v>92.3</v>
      </c>
      <c r="E76" s="24">
        <v>92.3</v>
      </c>
      <c r="F76" s="24"/>
      <c r="G76" s="24"/>
      <c r="H76" s="24"/>
      <c r="I76" s="15">
        <f t="shared" si="1"/>
        <v>100</v>
      </c>
    </row>
    <row r="77" spans="1:9" ht="39">
      <c r="A77" s="26" t="s">
        <v>46</v>
      </c>
      <c r="B77" s="60" t="s">
        <v>10</v>
      </c>
      <c r="C77" s="63"/>
      <c r="D77" s="63">
        <v>7.7</v>
      </c>
      <c r="E77" s="63">
        <v>7.7</v>
      </c>
      <c r="F77" s="63"/>
      <c r="G77" s="63"/>
      <c r="H77" s="63"/>
      <c r="I77" s="15">
        <f t="shared" si="1"/>
        <v>100</v>
      </c>
    </row>
    <row r="78" spans="1:9" ht="18.75">
      <c r="A78" s="131" t="s">
        <v>113</v>
      </c>
      <c r="B78" s="132"/>
      <c r="C78" s="132"/>
      <c r="D78" s="132"/>
      <c r="E78" s="132"/>
      <c r="F78" s="132"/>
      <c r="G78" s="132"/>
      <c r="H78" s="132"/>
      <c r="I78" s="133"/>
    </row>
    <row r="79" spans="1:9" ht="19.5">
      <c r="A79" s="64" t="s">
        <v>55</v>
      </c>
      <c r="B79" s="65" t="s">
        <v>56</v>
      </c>
      <c r="C79" s="66"/>
      <c r="D79" s="116">
        <v>39418</v>
      </c>
      <c r="E79" s="108">
        <v>39455</v>
      </c>
      <c r="F79" s="66"/>
      <c r="G79" s="66"/>
      <c r="H79" s="66"/>
      <c r="I79" s="15">
        <f t="shared" si="1"/>
        <v>99.90622227854517</v>
      </c>
    </row>
    <row r="80" spans="1:9" ht="19.5">
      <c r="A80" s="12" t="s">
        <v>47</v>
      </c>
      <c r="B80" s="17" t="s">
        <v>36</v>
      </c>
      <c r="C80" s="43"/>
      <c r="D80" s="43"/>
      <c r="E80" s="43"/>
      <c r="F80" s="43"/>
      <c r="G80" s="43"/>
      <c r="H80" s="43"/>
      <c r="I80" s="15"/>
    </row>
    <row r="81" spans="1:9" ht="19.5">
      <c r="A81" s="26" t="s">
        <v>48</v>
      </c>
      <c r="B81" s="23" t="s">
        <v>36</v>
      </c>
      <c r="C81" s="28"/>
      <c r="D81" s="5">
        <v>13.078</v>
      </c>
      <c r="E81" s="5">
        <v>13.193</v>
      </c>
      <c r="F81" s="28"/>
      <c r="G81" s="28"/>
      <c r="H81" s="28"/>
      <c r="I81" s="15">
        <f t="shared" si="1"/>
        <v>99.12832562722656</v>
      </c>
    </row>
    <row r="82" spans="1:9" ht="18.75">
      <c r="A82" s="22" t="s">
        <v>49</v>
      </c>
      <c r="B82" s="23" t="s">
        <v>36</v>
      </c>
      <c r="C82" s="28"/>
      <c r="D82" s="5"/>
      <c r="E82" s="5"/>
      <c r="F82" s="28"/>
      <c r="G82" s="28"/>
      <c r="H82" s="28"/>
      <c r="I82" s="15"/>
    </row>
    <row r="83" spans="1:9" ht="19.5">
      <c r="A83" s="26" t="s">
        <v>50</v>
      </c>
      <c r="B83" s="23" t="s">
        <v>36</v>
      </c>
      <c r="C83" s="28"/>
      <c r="D83" s="5">
        <v>0.757</v>
      </c>
      <c r="E83" s="5">
        <v>0.765</v>
      </c>
      <c r="F83" s="28"/>
      <c r="G83" s="28"/>
      <c r="H83" s="28"/>
      <c r="I83" s="15">
        <f t="shared" si="1"/>
        <v>98.95424836601308</v>
      </c>
    </row>
    <row r="84" spans="1:9" ht="19.5">
      <c r="A84" s="26" t="s">
        <v>51</v>
      </c>
      <c r="B84" s="23" t="s">
        <v>36</v>
      </c>
      <c r="C84" s="28"/>
      <c r="D84" s="5">
        <v>2.048</v>
      </c>
      <c r="E84" s="5">
        <v>3.472</v>
      </c>
      <c r="F84" s="28"/>
      <c r="G84" s="28"/>
      <c r="H84" s="28"/>
      <c r="I84" s="15">
        <f t="shared" si="1"/>
        <v>58.986175115207374</v>
      </c>
    </row>
    <row r="85" spans="1:9" ht="18.75">
      <c r="A85" s="22" t="s">
        <v>52</v>
      </c>
      <c r="B85" s="23" t="s">
        <v>36</v>
      </c>
      <c r="C85" s="28"/>
      <c r="D85" s="109">
        <v>0.24</v>
      </c>
      <c r="E85" s="5">
        <v>0.259</v>
      </c>
      <c r="F85" s="28"/>
      <c r="G85" s="28"/>
      <c r="H85" s="28"/>
      <c r="I85" s="15">
        <f t="shared" si="1"/>
        <v>92.66409266409266</v>
      </c>
    </row>
    <row r="86" spans="1:9" ht="58.5">
      <c r="A86" s="26" t="s">
        <v>53</v>
      </c>
      <c r="B86" s="23" t="s">
        <v>10</v>
      </c>
      <c r="C86" s="28"/>
      <c r="D86" s="5">
        <v>26.1</v>
      </c>
      <c r="E86" s="5">
        <v>25.9</v>
      </c>
      <c r="F86" s="28"/>
      <c r="G86" s="28"/>
      <c r="H86" s="28"/>
      <c r="I86" s="15">
        <f>D86-E86</f>
        <v>0.20000000000000284</v>
      </c>
    </row>
    <row r="87" spans="1:9" ht="37.5">
      <c r="A87" s="22" t="s">
        <v>96</v>
      </c>
      <c r="B87" s="23" t="s">
        <v>10</v>
      </c>
      <c r="C87" s="28"/>
      <c r="D87" s="5">
        <v>0.015</v>
      </c>
      <c r="E87" s="5">
        <v>0.015</v>
      </c>
      <c r="F87" s="28"/>
      <c r="G87" s="28"/>
      <c r="H87" s="28"/>
      <c r="I87" s="15">
        <f t="shared" si="1"/>
        <v>100</v>
      </c>
    </row>
    <row r="88" spans="1:9" ht="37.5">
      <c r="A88" s="22" t="s">
        <v>103</v>
      </c>
      <c r="B88" s="23" t="s">
        <v>10</v>
      </c>
      <c r="C88" s="28"/>
      <c r="D88" s="5"/>
      <c r="E88" s="5"/>
      <c r="F88" s="28"/>
      <c r="G88" s="28"/>
      <c r="H88" s="28"/>
      <c r="I88" s="15" t="e">
        <f t="shared" si="1"/>
        <v>#DIV/0!</v>
      </c>
    </row>
    <row r="89" spans="1:9" ht="18.75">
      <c r="A89" s="22" t="s">
        <v>97</v>
      </c>
      <c r="B89" s="23" t="s">
        <v>10</v>
      </c>
      <c r="C89" s="28"/>
      <c r="D89" s="5">
        <v>0.12</v>
      </c>
      <c r="E89" s="5">
        <v>0.12</v>
      </c>
      <c r="F89" s="28"/>
      <c r="G89" s="28"/>
      <c r="H89" s="28"/>
      <c r="I89" s="15">
        <f t="shared" si="1"/>
        <v>100</v>
      </c>
    </row>
    <row r="90" spans="1:9" ht="18.75">
      <c r="A90" s="22" t="s">
        <v>98</v>
      </c>
      <c r="B90" s="23" t="s">
        <v>10</v>
      </c>
      <c r="C90" s="28"/>
      <c r="D90" s="5"/>
      <c r="E90" s="5"/>
      <c r="F90" s="28"/>
      <c r="G90" s="28"/>
      <c r="H90" s="28"/>
      <c r="I90" s="15" t="e">
        <f t="shared" si="1"/>
        <v>#DIV/0!</v>
      </c>
    </row>
    <row r="91" spans="1:9" ht="18.75">
      <c r="A91" s="25" t="s">
        <v>72</v>
      </c>
      <c r="B91" s="23" t="s">
        <v>10</v>
      </c>
      <c r="C91" s="28"/>
      <c r="D91" s="5"/>
      <c r="E91" s="5"/>
      <c r="F91" s="28"/>
      <c r="G91" s="28"/>
      <c r="H91" s="28"/>
      <c r="I91" s="15" t="e">
        <f t="shared" si="1"/>
        <v>#DIV/0!</v>
      </c>
    </row>
    <row r="92" spans="1:9" ht="18.75">
      <c r="A92" s="25" t="s">
        <v>73</v>
      </c>
      <c r="B92" s="23" t="s">
        <v>10</v>
      </c>
      <c r="C92" s="28"/>
      <c r="D92" s="5">
        <v>2.45</v>
      </c>
      <c r="E92" s="5">
        <v>2.45</v>
      </c>
      <c r="F92" s="28"/>
      <c r="G92" s="28"/>
      <c r="H92" s="28"/>
      <c r="I92" s="15">
        <f t="shared" si="1"/>
        <v>100</v>
      </c>
    </row>
    <row r="93" spans="1:9" ht="37.5">
      <c r="A93" s="22" t="s">
        <v>99</v>
      </c>
      <c r="B93" s="23" t="s">
        <v>10</v>
      </c>
      <c r="C93" s="28"/>
      <c r="D93" s="5"/>
      <c r="E93" s="5"/>
      <c r="F93" s="28"/>
      <c r="G93" s="28"/>
      <c r="H93" s="28"/>
      <c r="I93" s="15" t="e">
        <f t="shared" si="1"/>
        <v>#DIV/0!</v>
      </c>
    </row>
    <row r="94" spans="1:9" ht="56.25">
      <c r="A94" s="22" t="s">
        <v>100</v>
      </c>
      <c r="B94" s="23" t="s">
        <v>10</v>
      </c>
      <c r="C94" s="28"/>
      <c r="D94" s="5"/>
      <c r="E94" s="5"/>
      <c r="F94" s="28"/>
      <c r="G94" s="28"/>
      <c r="H94" s="28"/>
      <c r="I94" s="15" t="e">
        <f>D94/E94*100</f>
        <v>#DIV/0!</v>
      </c>
    </row>
    <row r="95" spans="1:9" ht="18.75">
      <c r="A95" s="25" t="s">
        <v>82</v>
      </c>
      <c r="B95" s="23" t="s">
        <v>10</v>
      </c>
      <c r="C95" s="28"/>
      <c r="D95" s="5">
        <v>0.11</v>
      </c>
      <c r="E95" s="5">
        <v>0.11</v>
      </c>
      <c r="F95" s="28"/>
      <c r="G95" s="28"/>
      <c r="H95" s="28"/>
      <c r="I95" s="15">
        <f>D95/E95*100</f>
        <v>100</v>
      </c>
    </row>
    <row r="96" spans="1:9" ht="37.5">
      <c r="A96" s="22" t="s">
        <v>101</v>
      </c>
      <c r="B96" s="20" t="s">
        <v>10</v>
      </c>
      <c r="C96" s="28"/>
      <c r="D96" s="5">
        <v>1.8</v>
      </c>
      <c r="E96" s="5">
        <v>1.8</v>
      </c>
      <c r="F96" s="28"/>
      <c r="G96" s="28"/>
      <c r="H96" s="28"/>
      <c r="I96" s="15">
        <f>D96/E96*100</f>
        <v>100</v>
      </c>
    </row>
    <row r="97" spans="1:9" ht="18.75">
      <c r="A97" s="25" t="s">
        <v>78</v>
      </c>
      <c r="B97" s="20" t="s">
        <v>10</v>
      </c>
      <c r="C97" s="43"/>
      <c r="D97" s="18">
        <v>12.7</v>
      </c>
      <c r="E97" s="18">
        <v>12.7</v>
      </c>
      <c r="F97" s="43"/>
      <c r="G97" s="43"/>
      <c r="H97" s="43"/>
      <c r="I97" s="15">
        <f>D97/E97*100</f>
        <v>100</v>
      </c>
    </row>
    <row r="98" spans="1:9" ht="75">
      <c r="A98" s="67" t="s">
        <v>88</v>
      </c>
      <c r="B98" s="60" t="s">
        <v>10</v>
      </c>
      <c r="C98" s="43"/>
      <c r="D98" s="110">
        <f>797/13078*100</f>
        <v>6.094204006728857</v>
      </c>
      <c r="E98" s="18">
        <v>5.9</v>
      </c>
      <c r="F98" s="43"/>
      <c r="G98" s="43"/>
      <c r="H98" s="43"/>
      <c r="I98" s="15">
        <f>D98-E98</f>
        <v>0.19420400672885663</v>
      </c>
    </row>
    <row r="99" spans="1:9" ht="18.75">
      <c r="A99" s="131" t="s">
        <v>54</v>
      </c>
      <c r="B99" s="132"/>
      <c r="C99" s="132"/>
      <c r="D99" s="132"/>
      <c r="E99" s="132"/>
      <c r="F99" s="132"/>
      <c r="G99" s="132"/>
      <c r="H99" s="132"/>
      <c r="I99" s="133"/>
    </row>
    <row r="100" spans="1:9" ht="19.5">
      <c r="A100" s="26" t="s">
        <v>57</v>
      </c>
      <c r="B100" s="23" t="s">
        <v>56</v>
      </c>
      <c r="C100" s="21">
        <v>13.078</v>
      </c>
      <c r="D100" s="21">
        <v>13.078</v>
      </c>
      <c r="E100" s="21">
        <v>13.193</v>
      </c>
      <c r="F100" s="21"/>
      <c r="G100" s="21">
        <v>13.078</v>
      </c>
      <c r="H100" s="21">
        <v>13.193</v>
      </c>
      <c r="I100" s="15">
        <f aca="true" t="shared" si="2" ref="I100:I156">D100/E100*100</f>
        <v>99.12832562722656</v>
      </c>
    </row>
    <row r="101" spans="1:9" ht="19.5">
      <c r="A101" s="12" t="s">
        <v>58</v>
      </c>
      <c r="B101" s="68"/>
      <c r="C101" s="106"/>
      <c r="D101" s="106"/>
      <c r="E101" s="106"/>
      <c r="F101" s="106"/>
      <c r="G101" s="106"/>
      <c r="H101" s="106"/>
      <c r="I101" s="15"/>
    </row>
    <row r="102" spans="1:9" ht="37.5">
      <c r="A102" s="22" t="s">
        <v>96</v>
      </c>
      <c r="B102" s="20" t="s">
        <v>56</v>
      </c>
      <c r="C102" s="21">
        <v>0.018</v>
      </c>
      <c r="D102" s="21">
        <v>0.018</v>
      </c>
      <c r="E102" s="21">
        <v>0.007</v>
      </c>
      <c r="F102" s="21"/>
      <c r="G102" s="21">
        <v>0.018</v>
      </c>
      <c r="H102" s="21">
        <v>0.007</v>
      </c>
      <c r="I102" s="15">
        <f t="shared" si="2"/>
        <v>257.1428571428571</v>
      </c>
    </row>
    <row r="103" spans="1:9" ht="37.5">
      <c r="A103" s="22" t="s">
        <v>121</v>
      </c>
      <c r="B103" s="20" t="s">
        <v>56</v>
      </c>
      <c r="C103" s="21"/>
      <c r="D103" s="21"/>
      <c r="E103" s="21"/>
      <c r="F103" s="21"/>
      <c r="G103" s="21"/>
      <c r="H103" s="21"/>
      <c r="I103" s="15"/>
    </row>
    <row r="104" spans="1:9" ht="18.75">
      <c r="A104" s="22" t="s">
        <v>122</v>
      </c>
      <c r="B104" s="23" t="s">
        <v>56</v>
      </c>
      <c r="C104" s="5"/>
      <c r="D104" s="5"/>
      <c r="E104" s="5"/>
      <c r="F104" s="5"/>
      <c r="G104" s="5"/>
      <c r="H104" s="5"/>
      <c r="I104" s="15"/>
    </row>
    <row r="105" spans="1:9" ht="18.75">
      <c r="A105" s="22" t="s">
        <v>123</v>
      </c>
      <c r="B105" s="23" t="s">
        <v>56</v>
      </c>
      <c r="C105" s="5"/>
      <c r="D105" s="5"/>
      <c r="E105" s="5"/>
      <c r="F105" s="5"/>
      <c r="G105" s="5"/>
      <c r="H105" s="5"/>
      <c r="I105" s="15"/>
    </row>
    <row r="106" spans="1:9" ht="18.75">
      <c r="A106" s="25" t="s">
        <v>72</v>
      </c>
      <c r="B106" s="23" t="s">
        <v>56</v>
      </c>
      <c r="C106" s="5">
        <v>0.429</v>
      </c>
      <c r="D106" s="5">
        <v>0.429</v>
      </c>
      <c r="E106" s="5">
        <v>0.38</v>
      </c>
      <c r="F106" s="5"/>
      <c r="G106" s="5">
        <v>0.429</v>
      </c>
      <c r="H106" s="5">
        <v>0.38</v>
      </c>
      <c r="I106" s="15">
        <f t="shared" si="2"/>
        <v>112.89473684210527</v>
      </c>
    </row>
    <row r="107" spans="1:9" ht="18.75">
      <c r="A107" s="25" t="s">
        <v>73</v>
      </c>
      <c r="B107" s="23" t="s">
        <v>56</v>
      </c>
      <c r="C107" s="5">
        <v>0.701</v>
      </c>
      <c r="D107" s="113">
        <v>0.707</v>
      </c>
      <c r="E107" s="113">
        <v>0.835</v>
      </c>
      <c r="F107" s="5"/>
      <c r="G107" s="5">
        <v>0.701</v>
      </c>
      <c r="H107" s="5">
        <v>1.53</v>
      </c>
      <c r="I107" s="15">
        <f t="shared" si="2"/>
        <v>84.67065868263472</v>
      </c>
    </row>
    <row r="108" spans="1:9" ht="37.5">
      <c r="A108" s="22" t="s">
        <v>99</v>
      </c>
      <c r="B108" s="23" t="s">
        <v>56</v>
      </c>
      <c r="C108" s="106">
        <v>0.712</v>
      </c>
      <c r="D108" s="106">
        <v>0.712</v>
      </c>
      <c r="E108" s="128">
        <v>0.943</v>
      </c>
      <c r="F108" s="106"/>
      <c r="G108" s="106">
        <v>0.712</v>
      </c>
      <c r="H108" s="128">
        <v>0.943</v>
      </c>
      <c r="I108" s="15"/>
    </row>
    <row r="109" spans="1:9" ht="37.5" customHeight="1">
      <c r="A109" s="22" t="s">
        <v>100</v>
      </c>
      <c r="B109" s="23" t="s">
        <v>56</v>
      </c>
      <c r="C109" s="106">
        <v>0.103</v>
      </c>
      <c r="D109" s="106">
        <v>0.103</v>
      </c>
      <c r="E109" s="129"/>
      <c r="F109" s="106"/>
      <c r="G109" s="106">
        <v>0.103</v>
      </c>
      <c r="H109" s="129"/>
      <c r="I109" s="15"/>
    </row>
    <row r="110" spans="1:9" ht="18.75">
      <c r="A110" s="25" t="s">
        <v>82</v>
      </c>
      <c r="B110" s="23" t="s">
        <v>56</v>
      </c>
      <c r="C110" s="106">
        <v>0.9</v>
      </c>
      <c r="D110" s="106">
        <v>0.9</v>
      </c>
      <c r="E110" s="106">
        <v>0.856</v>
      </c>
      <c r="F110" s="106"/>
      <c r="G110" s="106">
        <v>0.9</v>
      </c>
      <c r="H110" s="106">
        <v>0.856</v>
      </c>
      <c r="I110" s="15">
        <f t="shared" si="2"/>
        <v>105.14018691588785</v>
      </c>
    </row>
    <row r="111" spans="1:9" ht="37.5">
      <c r="A111" s="22" t="s">
        <v>101</v>
      </c>
      <c r="B111" s="23" t="s">
        <v>56</v>
      </c>
      <c r="C111" s="106">
        <v>3.392</v>
      </c>
      <c r="D111" s="106">
        <v>3.392</v>
      </c>
      <c r="E111" s="106">
        <v>3.231</v>
      </c>
      <c r="F111" s="106"/>
      <c r="G111" s="106">
        <v>3.392</v>
      </c>
      <c r="H111" s="106">
        <v>3.231</v>
      </c>
      <c r="I111" s="15">
        <f t="shared" si="2"/>
        <v>104.98297740637574</v>
      </c>
    </row>
    <row r="112" spans="1:9" ht="37.5">
      <c r="A112" s="22" t="s">
        <v>71</v>
      </c>
      <c r="B112" s="23" t="s">
        <v>56</v>
      </c>
      <c r="C112" s="106">
        <v>0.768</v>
      </c>
      <c r="D112" s="106">
        <v>0.768</v>
      </c>
      <c r="E112" s="106">
        <v>0.82</v>
      </c>
      <c r="F112" s="106"/>
      <c r="G112" s="106">
        <v>0.768</v>
      </c>
      <c r="H112" s="106">
        <v>0.82</v>
      </c>
      <c r="I112" s="15">
        <f t="shared" si="2"/>
        <v>93.65853658536587</v>
      </c>
    </row>
    <row r="113" spans="1:9" ht="18.75">
      <c r="A113" s="69" t="s">
        <v>74</v>
      </c>
      <c r="B113" s="23" t="s">
        <v>56</v>
      </c>
      <c r="C113" s="106">
        <v>1.725</v>
      </c>
      <c r="D113" s="106">
        <v>1.725</v>
      </c>
      <c r="E113" s="106">
        <v>1.841</v>
      </c>
      <c r="F113" s="106"/>
      <c r="G113" s="106">
        <v>1.725</v>
      </c>
      <c r="H113" s="106">
        <v>1.841</v>
      </c>
      <c r="I113" s="15">
        <f t="shared" si="2"/>
        <v>93.69907658881044</v>
      </c>
    </row>
    <row r="114" spans="1:9" ht="18.75">
      <c r="A114" s="69" t="s">
        <v>75</v>
      </c>
      <c r="B114" s="23" t="s">
        <v>56</v>
      </c>
      <c r="C114" s="106">
        <v>0.938</v>
      </c>
      <c r="D114" s="106">
        <v>0.938</v>
      </c>
      <c r="E114" s="106">
        <v>1.148</v>
      </c>
      <c r="F114" s="106"/>
      <c r="G114" s="106">
        <v>0.938</v>
      </c>
      <c r="H114" s="106">
        <v>1.148</v>
      </c>
      <c r="I114" s="15">
        <f t="shared" si="2"/>
        <v>81.70731707317074</v>
      </c>
    </row>
    <row r="115" spans="1:9" ht="37.5">
      <c r="A115" s="70" t="s">
        <v>76</v>
      </c>
      <c r="B115" s="23" t="s">
        <v>56</v>
      </c>
      <c r="C115" s="106"/>
      <c r="D115" s="106"/>
      <c r="E115" s="106"/>
      <c r="F115" s="106"/>
      <c r="G115" s="106"/>
      <c r="H115" s="106"/>
      <c r="I115" s="15"/>
    </row>
    <row r="116" spans="1:9" ht="18.75">
      <c r="A116" s="69" t="s">
        <v>78</v>
      </c>
      <c r="B116" s="20" t="s">
        <v>56</v>
      </c>
      <c r="C116" s="106">
        <f>0.904+2.391+0.097</f>
        <v>3.392</v>
      </c>
      <c r="D116" s="124">
        <v>3.386</v>
      </c>
      <c r="E116" s="124">
        <v>3.132</v>
      </c>
      <c r="F116" s="106"/>
      <c r="G116" s="106">
        <v>3.392</v>
      </c>
      <c r="H116" s="106">
        <v>2.437</v>
      </c>
      <c r="I116" s="15">
        <f t="shared" si="2"/>
        <v>108.10983397190294</v>
      </c>
    </row>
    <row r="117" spans="1:9" ht="75">
      <c r="A117" s="71" t="s">
        <v>86</v>
      </c>
      <c r="B117" s="20" t="s">
        <v>56</v>
      </c>
      <c r="C117" s="106">
        <v>1.923</v>
      </c>
      <c r="D117" s="106">
        <v>1.904</v>
      </c>
      <c r="E117" s="106">
        <v>1.919</v>
      </c>
      <c r="F117" s="106"/>
      <c r="G117" s="106">
        <v>1.912</v>
      </c>
      <c r="H117" s="106">
        <v>1.925</v>
      </c>
      <c r="I117" s="15">
        <f t="shared" si="2"/>
        <v>99.21834288692027</v>
      </c>
    </row>
    <row r="118" spans="1:9" ht="18.75">
      <c r="A118" s="72" t="s">
        <v>77</v>
      </c>
      <c r="B118" s="68"/>
      <c r="C118" s="106"/>
      <c r="D118" s="106"/>
      <c r="E118" s="106"/>
      <c r="F118" s="106"/>
      <c r="G118" s="106"/>
      <c r="H118" s="106"/>
      <c r="I118" s="15"/>
    </row>
    <row r="119" spans="1:9" ht="18.75">
      <c r="A119" s="73" t="s">
        <v>79</v>
      </c>
      <c r="B119" s="23" t="s">
        <v>56</v>
      </c>
      <c r="C119" s="106">
        <v>0.186</v>
      </c>
      <c r="D119" s="106">
        <v>0.184</v>
      </c>
      <c r="E119" s="106">
        <v>0.193</v>
      </c>
      <c r="F119" s="106"/>
      <c r="G119" s="106">
        <v>0.185</v>
      </c>
      <c r="H119" s="106">
        <v>0.193</v>
      </c>
      <c r="I119" s="15">
        <f t="shared" si="2"/>
        <v>95.33678756476684</v>
      </c>
    </row>
    <row r="120" spans="1:9" ht="18.75">
      <c r="A120" s="73" t="s">
        <v>80</v>
      </c>
      <c r="B120" s="23" t="s">
        <v>56</v>
      </c>
      <c r="C120" s="106"/>
      <c r="D120" s="106"/>
      <c r="E120" s="106"/>
      <c r="F120" s="106"/>
      <c r="G120" s="106"/>
      <c r="H120" s="106"/>
      <c r="I120" s="15"/>
    </row>
    <row r="121" spans="1:9" ht="18.75">
      <c r="A121" s="73" t="s">
        <v>74</v>
      </c>
      <c r="B121" s="23" t="s">
        <v>56</v>
      </c>
      <c r="C121" s="106">
        <v>1.465</v>
      </c>
      <c r="D121" s="106">
        <v>1.462</v>
      </c>
      <c r="E121" s="106">
        <v>1.462</v>
      </c>
      <c r="F121" s="106"/>
      <c r="G121" s="106">
        <v>1.464</v>
      </c>
      <c r="H121" s="106">
        <v>1.463</v>
      </c>
      <c r="I121" s="15">
        <f t="shared" si="2"/>
        <v>100</v>
      </c>
    </row>
    <row r="122" spans="1:9" ht="18.75">
      <c r="A122" s="73" t="s">
        <v>115</v>
      </c>
      <c r="B122" s="23" t="s">
        <v>56</v>
      </c>
      <c r="C122" s="106">
        <v>0.006</v>
      </c>
      <c r="D122" s="106">
        <v>0.006</v>
      </c>
      <c r="E122" s="106">
        <v>0.006</v>
      </c>
      <c r="F122" s="106"/>
      <c r="G122" s="106">
        <v>0.006</v>
      </c>
      <c r="H122" s="106">
        <v>0.006</v>
      </c>
      <c r="I122" s="15">
        <f t="shared" si="2"/>
        <v>100</v>
      </c>
    </row>
    <row r="123" spans="1:9" ht="18.75">
      <c r="A123" s="73" t="s">
        <v>81</v>
      </c>
      <c r="B123" s="20" t="s">
        <v>36</v>
      </c>
      <c r="C123" s="74">
        <v>0.253</v>
      </c>
      <c r="D123" s="74">
        <v>0.243</v>
      </c>
      <c r="E123" s="74">
        <v>0.247</v>
      </c>
      <c r="F123" s="74"/>
      <c r="G123" s="74">
        <v>0.244</v>
      </c>
      <c r="H123" s="74">
        <v>0.252</v>
      </c>
      <c r="I123" s="15">
        <f t="shared" si="2"/>
        <v>98.38056680161942</v>
      </c>
    </row>
    <row r="124" spans="1:9" ht="18.75">
      <c r="A124" s="75" t="s">
        <v>78</v>
      </c>
      <c r="B124" s="20" t="s">
        <v>36</v>
      </c>
      <c r="C124" s="74">
        <v>0.013</v>
      </c>
      <c r="D124" s="74">
        <v>0.009</v>
      </c>
      <c r="E124" s="74">
        <v>0.011</v>
      </c>
      <c r="F124" s="74"/>
      <c r="G124" s="74">
        <v>0.013</v>
      </c>
      <c r="H124" s="74">
        <v>0.011</v>
      </c>
      <c r="I124" s="15">
        <f t="shared" si="2"/>
        <v>81.81818181818181</v>
      </c>
    </row>
    <row r="125" spans="1:9" ht="39">
      <c r="A125" s="76" t="s">
        <v>59</v>
      </c>
      <c r="B125" s="20" t="s">
        <v>10</v>
      </c>
      <c r="C125" s="74">
        <v>1.8</v>
      </c>
      <c r="D125" s="74">
        <v>1.8</v>
      </c>
      <c r="E125" s="74">
        <v>1.9</v>
      </c>
      <c r="F125" s="74"/>
      <c r="G125" s="74">
        <v>1.5</v>
      </c>
      <c r="H125" s="74">
        <v>1.7</v>
      </c>
      <c r="I125" s="15">
        <f>D125-E125</f>
        <v>-0.09999999999999987</v>
      </c>
    </row>
    <row r="126" spans="1:9" ht="19.5">
      <c r="A126" s="26" t="s">
        <v>60</v>
      </c>
      <c r="B126" s="23" t="s">
        <v>14</v>
      </c>
      <c r="C126" s="77">
        <v>12894.473220757827</v>
      </c>
      <c r="D126" s="77">
        <v>13306.9</v>
      </c>
      <c r="E126" s="77">
        <v>13158.3</v>
      </c>
      <c r="F126" s="77"/>
      <c r="G126" s="77">
        <v>12525.2</v>
      </c>
      <c r="H126" s="78">
        <v>12194.2</v>
      </c>
      <c r="I126" s="15">
        <f t="shared" si="2"/>
        <v>101.12932521678333</v>
      </c>
    </row>
    <row r="127" spans="1:9" ht="39">
      <c r="A127" s="26" t="s">
        <v>61</v>
      </c>
      <c r="B127" s="23" t="s">
        <v>14</v>
      </c>
      <c r="C127" s="77">
        <f>C153/C100/6*1000</f>
        <v>24021.257072946937</v>
      </c>
      <c r="D127" s="104">
        <f>D153/D100/12*1000</f>
        <v>25253.413590538537</v>
      </c>
      <c r="E127" s="104">
        <f>E153/E100/12*1000</f>
        <v>24912.702721787842</v>
      </c>
      <c r="F127" s="104"/>
      <c r="G127" s="99">
        <f>G153/9/G100*1000</f>
        <v>23919.141205998523</v>
      </c>
      <c r="H127" s="100">
        <v>23108</v>
      </c>
      <c r="I127" s="15">
        <f t="shared" si="2"/>
        <v>101.36761905183704</v>
      </c>
    </row>
    <row r="128" spans="1:9" ht="19.5">
      <c r="A128" s="12" t="s">
        <v>58</v>
      </c>
      <c r="B128" s="68"/>
      <c r="C128" s="42"/>
      <c r="D128" s="42"/>
      <c r="E128" s="42"/>
      <c r="F128" s="42"/>
      <c r="G128" s="42"/>
      <c r="H128" s="106"/>
      <c r="I128" s="15"/>
    </row>
    <row r="129" spans="1:9" ht="37.5">
      <c r="A129" s="22" t="s">
        <v>96</v>
      </c>
      <c r="B129" s="20" t="s">
        <v>14</v>
      </c>
      <c r="C129" s="38"/>
      <c r="D129" s="21">
        <v>26137</v>
      </c>
      <c r="E129" s="21">
        <v>18208.6</v>
      </c>
      <c r="F129" s="21">
        <v>16509</v>
      </c>
      <c r="G129" s="38"/>
      <c r="H129" s="21"/>
      <c r="I129" s="15">
        <f t="shared" si="2"/>
        <v>143.54206254187582</v>
      </c>
    </row>
    <row r="130" spans="1:9" ht="37.5">
      <c r="A130" s="22" t="s">
        <v>103</v>
      </c>
      <c r="B130" s="20" t="s">
        <v>14</v>
      </c>
      <c r="C130" s="38"/>
      <c r="D130" s="21"/>
      <c r="E130" s="38"/>
      <c r="F130" s="38"/>
      <c r="G130" s="38"/>
      <c r="H130" s="21"/>
      <c r="I130" s="15"/>
    </row>
    <row r="131" spans="1:9" ht="18.75">
      <c r="A131" s="22" t="s">
        <v>97</v>
      </c>
      <c r="B131" s="23" t="s">
        <v>14</v>
      </c>
      <c r="C131" s="28"/>
      <c r="D131" s="5"/>
      <c r="E131" s="28"/>
      <c r="F131" s="28"/>
      <c r="G131" s="28"/>
      <c r="H131" s="5"/>
      <c r="I131" s="15"/>
    </row>
    <row r="132" spans="1:9" ht="18.75">
      <c r="A132" s="22" t="s">
        <v>98</v>
      </c>
      <c r="B132" s="23" t="s">
        <v>14</v>
      </c>
      <c r="C132" s="28"/>
      <c r="D132" s="5"/>
      <c r="E132" s="28"/>
      <c r="F132" s="28"/>
      <c r="G132" s="28"/>
      <c r="H132" s="5"/>
      <c r="I132" s="15"/>
    </row>
    <row r="133" spans="1:9" ht="18.75">
      <c r="A133" s="25" t="s">
        <v>72</v>
      </c>
      <c r="B133" s="23" t="s">
        <v>14</v>
      </c>
      <c r="C133" s="77">
        <v>30618</v>
      </c>
      <c r="D133" s="77">
        <v>34326.7</v>
      </c>
      <c r="E133" s="103">
        <v>34644.2</v>
      </c>
      <c r="F133" s="103">
        <v>34598</v>
      </c>
      <c r="G133" s="77">
        <v>34278.8</v>
      </c>
      <c r="H133" s="5">
        <v>35209</v>
      </c>
      <c r="I133" s="15">
        <f t="shared" si="2"/>
        <v>99.08354067924789</v>
      </c>
    </row>
    <row r="134" spans="1:9" ht="18.75">
      <c r="A134" s="25" t="s">
        <v>73</v>
      </c>
      <c r="B134" s="23" t="s">
        <v>14</v>
      </c>
      <c r="C134" s="77">
        <v>16483</v>
      </c>
      <c r="D134" s="77">
        <v>39129.7</v>
      </c>
      <c r="E134" s="103">
        <v>35824.4</v>
      </c>
      <c r="F134" s="103">
        <v>23366</v>
      </c>
      <c r="G134" s="77">
        <v>14443.5</v>
      </c>
      <c r="H134" s="5">
        <v>14062</v>
      </c>
      <c r="I134" s="15">
        <f t="shared" si="2"/>
        <v>109.22639318453345</v>
      </c>
    </row>
    <row r="135" spans="1:9" ht="37.5">
      <c r="A135" s="22" t="s">
        <v>99</v>
      </c>
      <c r="B135" s="23" t="s">
        <v>14</v>
      </c>
      <c r="C135" s="77">
        <v>19586.5</v>
      </c>
      <c r="D135" s="77">
        <v>28621.3</v>
      </c>
      <c r="E135" s="137">
        <v>27814.5</v>
      </c>
      <c r="F135" s="137">
        <v>28065</v>
      </c>
      <c r="G135" s="77">
        <v>22086.4</v>
      </c>
      <c r="H135" s="128">
        <v>26407</v>
      </c>
      <c r="I135" s="15"/>
    </row>
    <row r="136" spans="1:9" ht="39" customHeight="1">
      <c r="A136" s="22" t="s">
        <v>100</v>
      </c>
      <c r="B136" s="23" t="s">
        <v>14</v>
      </c>
      <c r="C136" s="77">
        <v>30179</v>
      </c>
      <c r="D136" s="77">
        <v>27416.6</v>
      </c>
      <c r="E136" s="138"/>
      <c r="F136" s="138"/>
      <c r="G136" s="77">
        <v>19293.8</v>
      </c>
      <c r="H136" s="129"/>
      <c r="I136" s="15"/>
    </row>
    <row r="137" spans="1:9" ht="18.75">
      <c r="A137" s="25" t="s">
        <v>82</v>
      </c>
      <c r="B137" s="23" t="s">
        <v>14</v>
      </c>
      <c r="C137" s="77">
        <v>34208</v>
      </c>
      <c r="D137" s="77">
        <v>42737</v>
      </c>
      <c r="E137" s="103">
        <v>41991.8</v>
      </c>
      <c r="F137" s="103">
        <v>41827</v>
      </c>
      <c r="G137" s="77">
        <v>38837.5</v>
      </c>
      <c r="H137" s="5">
        <v>37592</v>
      </c>
      <c r="I137" s="15">
        <f t="shared" si="2"/>
        <v>101.77463219009424</v>
      </c>
    </row>
    <row r="138" spans="1:9" ht="37.5">
      <c r="A138" s="22" t="s">
        <v>101</v>
      </c>
      <c r="B138" s="23" t="s">
        <v>14</v>
      </c>
      <c r="C138" s="77">
        <v>17034.4</v>
      </c>
      <c r="D138" s="77">
        <v>24330.5</v>
      </c>
      <c r="E138" s="103">
        <v>23732.9</v>
      </c>
      <c r="F138" s="103">
        <v>23742</v>
      </c>
      <c r="G138" s="77">
        <v>14683.9</v>
      </c>
      <c r="H138" s="5">
        <v>15281</v>
      </c>
      <c r="I138" s="15">
        <f t="shared" si="2"/>
        <v>102.51802350323811</v>
      </c>
    </row>
    <row r="139" spans="1:9" ht="37.5">
      <c r="A139" s="22" t="s">
        <v>71</v>
      </c>
      <c r="B139" s="23" t="s">
        <v>14</v>
      </c>
      <c r="C139" s="77">
        <v>37895.5</v>
      </c>
      <c r="D139" s="77">
        <v>40892.9</v>
      </c>
      <c r="E139" s="103">
        <v>42748.7</v>
      </c>
      <c r="F139" s="103">
        <v>41608</v>
      </c>
      <c r="G139" s="77">
        <v>40949.7</v>
      </c>
      <c r="H139" s="5">
        <v>30461</v>
      </c>
      <c r="I139" s="15">
        <f t="shared" si="2"/>
        <v>95.6588153557886</v>
      </c>
    </row>
    <row r="140" spans="1:9" ht="18.75">
      <c r="A140" s="69" t="s">
        <v>74</v>
      </c>
      <c r="B140" s="23" t="s">
        <v>14</v>
      </c>
      <c r="C140" s="77">
        <v>21543.1</v>
      </c>
      <c r="D140" s="77">
        <v>22188.6</v>
      </c>
      <c r="E140" s="103">
        <v>21031</v>
      </c>
      <c r="F140" s="103">
        <v>21557</v>
      </c>
      <c r="G140" s="77">
        <v>25153.8</v>
      </c>
      <c r="H140" s="5">
        <v>20065</v>
      </c>
      <c r="I140" s="15">
        <f t="shared" si="2"/>
        <v>105.50425562265227</v>
      </c>
    </row>
    <row r="141" spans="1:9" ht="18.75">
      <c r="A141" s="69" t="s">
        <v>75</v>
      </c>
      <c r="B141" s="23" t="s">
        <v>14</v>
      </c>
      <c r="C141" s="77">
        <v>26656.2</v>
      </c>
      <c r="D141" s="77">
        <v>27531.7</v>
      </c>
      <c r="E141" s="103">
        <v>26089.5</v>
      </c>
      <c r="F141" s="103">
        <v>25820</v>
      </c>
      <c r="G141" s="77">
        <v>27659.1</v>
      </c>
      <c r="H141" s="5">
        <v>24783</v>
      </c>
      <c r="I141" s="15">
        <f t="shared" si="2"/>
        <v>105.52789436363288</v>
      </c>
    </row>
    <row r="142" spans="1:9" ht="37.5">
      <c r="A142" s="70" t="s">
        <v>76</v>
      </c>
      <c r="B142" s="23" t="s">
        <v>14</v>
      </c>
      <c r="C142" s="77"/>
      <c r="D142" s="77"/>
      <c r="E142" s="77"/>
      <c r="F142" s="77"/>
      <c r="G142" s="77"/>
      <c r="H142" s="5"/>
      <c r="I142" s="15"/>
    </row>
    <row r="143" spans="1:9" ht="18.75">
      <c r="A143" s="69" t="s">
        <v>78</v>
      </c>
      <c r="B143" s="23" t="s">
        <v>14</v>
      </c>
      <c r="C143" s="28"/>
      <c r="D143" s="111">
        <v>20077</v>
      </c>
      <c r="E143" s="111">
        <f>4420600/21/12</f>
        <v>17542.06349206349</v>
      </c>
      <c r="F143" s="28"/>
      <c r="G143" s="28"/>
      <c r="H143" s="28"/>
      <c r="I143" s="15">
        <f t="shared" si="2"/>
        <v>114.45061756322671</v>
      </c>
    </row>
    <row r="144" spans="1:9" ht="75">
      <c r="A144" s="71" t="s">
        <v>86</v>
      </c>
      <c r="B144" s="23" t="s">
        <v>14</v>
      </c>
      <c r="C144" s="78">
        <v>26176.39</v>
      </c>
      <c r="D144" s="105">
        <v>24157.68</v>
      </c>
      <c r="E144" s="105">
        <v>23334.16</v>
      </c>
      <c r="F144" s="105"/>
      <c r="G144" s="101">
        <v>23670.38586703859</v>
      </c>
      <c r="H144" s="101">
        <v>22338.90331890332</v>
      </c>
      <c r="I144" s="15">
        <f t="shared" si="2"/>
        <v>103.52924639241353</v>
      </c>
    </row>
    <row r="145" spans="1:9" ht="18.75">
      <c r="A145" s="72" t="s">
        <v>77</v>
      </c>
      <c r="B145" s="23"/>
      <c r="C145" s="78"/>
      <c r="D145" s="78"/>
      <c r="E145" s="78"/>
      <c r="F145" s="78"/>
      <c r="G145" s="78"/>
      <c r="H145" s="78"/>
      <c r="I145" s="15"/>
    </row>
    <row r="146" spans="1:9" ht="18.75">
      <c r="A146" s="79" t="s">
        <v>79</v>
      </c>
      <c r="B146" s="23" t="s">
        <v>14</v>
      </c>
      <c r="C146" s="78">
        <v>23889.78</v>
      </c>
      <c r="D146" s="78">
        <v>24219.2</v>
      </c>
      <c r="E146" s="78">
        <v>21733.64</v>
      </c>
      <c r="F146" s="78"/>
      <c r="G146" s="78">
        <v>24080.48</v>
      </c>
      <c r="H146" s="78">
        <v>19957.8</v>
      </c>
      <c r="I146" s="15">
        <f t="shared" si="2"/>
        <v>111.43646439344721</v>
      </c>
    </row>
    <row r="147" spans="1:9" ht="18.75">
      <c r="A147" s="79" t="s">
        <v>80</v>
      </c>
      <c r="B147" s="23" t="s">
        <v>14</v>
      </c>
      <c r="C147" s="78"/>
      <c r="D147" s="78"/>
      <c r="E147" s="78"/>
      <c r="F147" s="78"/>
      <c r="G147" s="78"/>
      <c r="H147" s="78"/>
      <c r="I147" s="15"/>
    </row>
    <row r="148" spans="1:9" ht="18.75">
      <c r="A148" s="79" t="s">
        <v>74</v>
      </c>
      <c r="B148" s="23" t="s">
        <v>14</v>
      </c>
      <c r="C148" s="78">
        <v>24222.3</v>
      </c>
      <c r="D148" s="78">
        <v>21416.21</v>
      </c>
      <c r="E148" s="78">
        <v>20919.86</v>
      </c>
      <c r="F148" s="78"/>
      <c r="G148" s="78">
        <v>20808.74</v>
      </c>
      <c r="H148" s="78">
        <v>20028.18</v>
      </c>
      <c r="I148" s="15">
        <f t="shared" si="2"/>
        <v>102.3726258206317</v>
      </c>
    </row>
    <row r="149" spans="1:9" ht="18.75">
      <c r="A149" s="79" t="s">
        <v>115</v>
      </c>
      <c r="B149" s="23" t="s">
        <v>14</v>
      </c>
      <c r="C149" s="78">
        <v>31944.44</v>
      </c>
      <c r="D149" s="78">
        <v>35472.22</v>
      </c>
      <c r="E149" s="78">
        <v>35472.22</v>
      </c>
      <c r="F149" s="78"/>
      <c r="G149" s="78">
        <v>37611.11</v>
      </c>
      <c r="H149" s="78">
        <v>36388.89</v>
      </c>
      <c r="I149" s="15">
        <f t="shared" si="2"/>
        <v>100</v>
      </c>
    </row>
    <row r="150" spans="1:9" ht="18.75">
      <c r="A150" s="80" t="s">
        <v>81</v>
      </c>
      <c r="B150" s="23" t="s">
        <v>14</v>
      </c>
      <c r="C150" s="78">
        <v>39547.43</v>
      </c>
      <c r="D150" s="78">
        <v>40296.5</v>
      </c>
      <c r="E150" s="78">
        <v>38880.74</v>
      </c>
      <c r="F150" s="78"/>
      <c r="G150" s="78">
        <v>40549.64</v>
      </c>
      <c r="H150" s="78">
        <v>37511.64</v>
      </c>
      <c r="I150" s="15">
        <f t="shared" si="2"/>
        <v>103.64128872032785</v>
      </c>
    </row>
    <row r="151" spans="1:9" ht="18.75">
      <c r="A151" s="80" t="s">
        <v>78</v>
      </c>
      <c r="B151" s="23" t="s">
        <v>14</v>
      </c>
      <c r="C151" s="78">
        <v>16517.41</v>
      </c>
      <c r="D151" s="78">
        <v>24911.35</v>
      </c>
      <c r="E151" s="78">
        <v>16586.36</v>
      </c>
      <c r="F151" s="78"/>
      <c r="G151" s="78">
        <v>16854.7</v>
      </c>
      <c r="H151" s="78">
        <v>16185.86</v>
      </c>
      <c r="I151" s="15">
        <f t="shared" si="2"/>
        <v>150.19178409247115</v>
      </c>
    </row>
    <row r="152" spans="1:9" ht="19.5">
      <c r="A152" s="81" t="s">
        <v>62</v>
      </c>
      <c r="B152" s="23" t="s">
        <v>4</v>
      </c>
      <c r="C152" s="5">
        <v>52.5</v>
      </c>
      <c r="D152" s="113">
        <v>70.2</v>
      </c>
      <c r="E152" s="5">
        <v>89.45</v>
      </c>
      <c r="F152" s="5"/>
      <c r="G152" s="5">
        <v>37.2</v>
      </c>
      <c r="H152" s="5">
        <v>65.933</v>
      </c>
      <c r="I152" s="15">
        <f t="shared" si="2"/>
        <v>78.47959754052543</v>
      </c>
    </row>
    <row r="153" spans="1:9" ht="19.5">
      <c r="A153" s="82" t="s">
        <v>63</v>
      </c>
      <c r="B153" s="23" t="s">
        <v>4</v>
      </c>
      <c r="C153" s="18">
        <v>1884.9</v>
      </c>
      <c r="D153" s="102">
        <f>212524975.98/41.25%/13%/1000000</f>
        <v>3963.1697152447555</v>
      </c>
      <c r="E153" s="102">
        <f>211501260.19/41.25%/13%/1000000</f>
        <v>3944.0794441025637</v>
      </c>
      <c r="F153" s="98"/>
      <c r="G153" s="102">
        <f>150972111.91/41.25%/13%/1000000</f>
        <v>2815.330758228438</v>
      </c>
      <c r="H153" s="95">
        <v>2743.76</v>
      </c>
      <c r="I153" s="15">
        <f t="shared" si="2"/>
        <v>100.48402349427157</v>
      </c>
    </row>
    <row r="154" spans="1:9" ht="39">
      <c r="A154" s="26" t="s">
        <v>89</v>
      </c>
      <c r="B154" s="23" t="s">
        <v>14</v>
      </c>
      <c r="C154" s="5">
        <v>9281</v>
      </c>
      <c r="D154" s="5">
        <f>(9281+9549+9543+9183)/4</f>
        <v>9389</v>
      </c>
      <c r="E154" s="5">
        <f>(9436+9507+9447+9240)/4</f>
        <v>9407.5</v>
      </c>
      <c r="F154" s="5"/>
      <c r="G154" s="5">
        <f>(9811+10113)/2</f>
        <v>9962</v>
      </c>
      <c r="H154" s="5">
        <v>9472</v>
      </c>
      <c r="I154" s="15">
        <f t="shared" si="2"/>
        <v>99.80334839224024</v>
      </c>
    </row>
    <row r="155" spans="1:10" ht="58.5">
      <c r="A155" s="26" t="s">
        <v>64</v>
      </c>
      <c r="B155" s="23" t="s">
        <v>65</v>
      </c>
      <c r="C155" s="83">
        <f>C126/C154</f>
        <v>1.3893409353257007</v>
      </c>
      <c r="D155" s="27">
        <f>D126/D154</f>
        <v>1.4172861859622963</v>
      </c>
      <c r="E155" s="27">
        <f>E126/E154</f>
        <v>1.3987031623704491</v>
      </c>
      <c r="F155" s="83"/>
      <c r="G155" s="83">
        <v>1.4</v>
      </c>
      <c r="H155" s="5">
        <v>1.3</v>
      </c>
      <c r="I155" s="112">
        <f>D155-E155</f>
        <v>0.01858302359184716</v>
      </c>
      <c r="J155" s="84"/>
    </row>
    <row r="156" spans="1:9" ht="39">
      <c r="A156" s="26" t="s">
        <v>66</v>
      </c>
      <c r="B156" s="23" t="s">
        <v>36</v>
      </c>
      <c r="C156" s="5">
        <v>8.189</v>
      </c>
      <c r="D156" s="113">
        <v>7.091</v>
      </c>
      <c r="E156" s="5">
        <v>9.175</v>
      </c>
      <c r="F156" s="5"/>
      <c r="G156" s="5">
        <v>8.189</v>
      </c>
      <c r="H156" s="5">
        <v>9.175</v>
      </c>
      <c r="I156" s="15">
        <f t="shared" si="2"/>
        <v>77.28610354223433</v>
      </c>
    </row>
    <row r="157" spans="1:9" ht="39">
      <c r="A157" s="26" t="s">
        <v>67</v>
      </c>
      <c r="B157" s="23" t="s">
        <v>10</v>
      </c>
      <c r="C157" s="5">
        <v>20.7</v>
      </c>
      <c r="D157" s="113">
        <v>18</v>
      </c>
      <c r="E157" s="5">
        <v>23</v>
      </c>
      <c r="F157" s="5"/>
      <c r="G157" s="5">
        <v>20.7</v>
      </c>
      <c r="H157" s="103">
        <v>23</v>
      </c>
      <c r="I157" s="15">
        <f>D157-E157</f>
        <v>-5</v>
      </c>
    </row>
    <row r="158" spans="1:9" ht="19.5">
      <c r="A158" s="26" t="s">
        <v>68</v>
      </c>
      <c r="B158" s="60" t="s">
        <v>70</v>
      </c>
      <c r="C158" s="5">
        <v>0</v>
      </c>
      <c r="D158" s="5">
        <v>441.966</v>
      </c>
      <c r="E158" s="5">
        <v>0</v>
      </c>
      <c r="F158" s="5"/>
      <c r="G158" s="5">
        <v>0</v>
      </c>
      <c r="H158" s="5">
        <v>0</v>
      </c>
      <c r="I158" s="15"/>
    </row>
    <row r="159" spans="1:9" ht="18.75">
      <c r="A159" s="85" t="s">
        <v>69</v>
      </c>
      <c r="B159" s="60" t="s">
        <v>70</v>
      </c>
      <c r="C159" s="86"/>
      <c r="D159" s="86"/>
      <c r="E159" s="86"/>
      <c r="F159" s="86"/>
      <c r="G159" s="86"/>
      <c r="H159" s="86"/>
      <c r="I159" s="15"/>
    </row>
    <row r="160" spans="1:9" ht="18.75">
      <c r="A160" s="87"/>
      <c r="B160" s="88"/>
      <c r="C160" s="89"/>
      <c r="D160" s="89"/>
      <c r="E160" s="89"/>
      <c r="F160" s="89"/>
      <c r="G160" s="89"/>
      <c r="H160" s="89"/>
      <c r="I160" s="90"/>
    </row>
    <row r="161" spans="1:9" ht="39.75" customHeight="1">
      <c r="A161" s="130" t="s">
        <v>94</v>
      </c>
      <c r="B161" s="130"/>
      <c r="C161" s="130"/>
      <c r="D161" s="130"/>
      <c r="E161" s="130"/>
      <c r="F161" s="130"/>
      <c r="G161" s="130"/>
      <c r="H161" s="130"/>
      <c r="I161" s="130"/>
    </row>
    <row r="162" spans="1:9" ht="15.75">
      <c r="A162" s="91"/>
      <c r="B162" s="92"/>
      <c r="C162" s="93"/>
      <c r="D162" s="93"/>
      <c r="E162" s="93"/>
      <c r="F162" s="93"/>
      <c r="G162" s="93"/>
      <c r="H162" s="93"/>
      <c r="I162" s="94"/>
    </row>
  </sheetData>
  <sheetProtection/>
  <mergeCells count="14">
    <mergeCell ref="A61:I61"/>
    <mergeCell ref="H108:H109"/>
    <mergeCell ref="E108:E109"/>
    <mergeCell ref="E135:E136"/>
    <mergeCell ref="F135:F136"/>
    <mergeCell ref="H1:I1"/>
    <mergeCell ref="A2:I2"/>
    <mergeCell ref="A3:I3"/>
    <mergeCell ref="H135:H136"/>
    <mergeCell ref="A161:I161"/>
    <mergeCell ref="A78:I78"/>
    <mergeCell ref="A99:I99"/>
    <mergeCell ref="A5:I5"/>
    <mergeCell ref="A28:I28"/>
  </mergeCells>
  <printOptions horizontalCentered="1"/>
  <pageMargins left="0.7480314960629921" right="0.7480314960629921" top="0.3937007874015748" bottom="0.3937007874015748" header="0" footer="0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Орлова Юлия Анатольевна</cp:lastModifiedBy>
  <cp:lastPrinted>2019-02-27T02:11:08Z</cp:lastPrinted>
  <dcterms:created xsi:type="dcterms:W3CDTF">2006-03-06T08:26:24Z</dcterms:created>
  <dcterms:modified xsi:type="dcterms:W3CDTF">2019-11-26T08:54:29Z</dcterms:modified>
  <cp:category/>
  <cp:version/>
  <cp:contentType/>
  <cp:contentStatus/>
</cp:coreProperties>
</file>