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-915" yWindow="-105" windowWidth="28140" windowHeight="12540" tabRatio="752"/>
  </bookViews>
  <sheets>
    <sheet name="Прогноз 2022-2024 " sheetId="1" r:id="rId1"/>
    <sheet name="Прил 3 (расчет ИФО) (2)" sheetId="9" r:id="rId2"/>
    <sheet name="Прил 5 Прогноз по поселениям" sheetId="8" r:id="rId3"/>
  </sheets>
  <definedNames>
    <definedName name="_xlnm.Print_Titles" localSheetId="2">'Прил 5 Прогноз по поселениям'!$A:$A,'Прил 5 Прогноз по поселениям'!$4:$7</definedName>
    <definedName name="_xlnm.Print_Titles" localSheetId="0">'Прогноз 2022-2024 '!$6:$8</definedName>
    <definedName name="_xlnm.Print_Area" localSheetId="2">'Прил 5 Прогноз по поселениям'!$A$1:$AQ$18</definedName>
    <definedName name="_xlnm.Print_Area" localSheetId="0">'Прогноз 2022-2024 '!$A$1:$I$171</definedName>
  </definedNames>
  <calcPr calcId="145621"/>
</workbook>
</file>

<file path=xl/calcChain.xml><?xml version="1.0" encoding="utf-8"?>
<calcChain xmlns="http://schemas.openxmlformats.org/spreadsheetml/2006/main">
  <c r="R103" i="9" l="1"/>
  <c r="L11" i="9"/>
  <c r="S11" i="9"/>
  <c r="Q11" i="9"/>
  <c r="P11" i="9"/>
  <c r="O11" i="9"/>
  <c r="N11" i="9"/>
  <c r="M11" i="9"/>
  <c r="S20" i="9" l="1"/>
  <c r="AQ16" i="8" l="1"/>
  <c r="AP16" i="8"/>
  <c r="AO16" i="8"/>
  <c r="AN16" i="8"/>
  <c r="AM16" i="8"/>
  <c r="AL15" i="8"/>
  <c r="AL14" i="8"/>
  <c r="AL13" i="8"/>
  <c r="AL12" i="8"/>
  <c r="AL11" i="8"/>
  <c r="AL10" i="8"/>
  <c r="AL9" i="8"/>
  <c r="AL8" i="8"/>
  <c r="AL16" i="8" l="1"/>
  <c r="Z16" i="8" l="1"/>
  <c r="AA16" i="8"/>
  <c r="AB16" i="8"/>
  <c r="AC16" i="8"/>
  <c r="AD16" i="8"/>
  <c r="AE16" i="8"/>
  <c r="Y16" i="8"/>
  <c r="U9" i="8" l="1"/>
  <c r="U10" i="8"/>
  <c r="U11" i="8"/>
  <c r="U12" i="8"/>
  <c r="U13" i="8"/>
  <c r="U14" i="8"/>
  <c r="U15" i="8"/>
  <c r="U8" i="8"/>
  <c r="G79" i="1" l="1"/>
  <c r="G75" i="1"/>
  <c r="F42" i="1"/>
  <c r="G42" i="1"/>
  <c r="H42" i="1"/>
  <c r="I42" i="1"/>
  <c r="I39" i="1"/>
  <c r="F39" i="1"/>
  <c r="G39" i="1"/>
  <c r="H39" i="1"/>
  <c r="F36" i="1"/>
  <c r="G36" i="1"/>
  <c r="G33" i="1" s="1"/>
  <c r="G29" i="1" s="1"/>
  <c r="H36" i="1"/>
  <c r="I36" i="1"/>
  <c r="F33" i="1"/>
  <c r="F29" i="1" s="1"/>
  <c r="I33" i="1"/>
  <c r="I29" i="1" s="1"/>
  <c r="E29" i="1"/>
  <c r="E42" i="1"/>
  <c r="E33" i="1" s="1"/>
  <c r="E39" i="1"/>
  <c r="E36" i="1"/>
  <c r="H33" i="1" l="1"/>
  <c r="H29" i="1" s="1"/>
  <c r="G21" i="1" l="1"/>
  <c r="G10" i="1"/>
  <c r="G24" i="1" l="1"/>
  <c r="G12" i="1"/>
  <c r="I75" i="1" l="1"/>
  <c r="E75" i="1"/>
  <c r="F75" i="1"/>
  <c r="H75" i="1"/>
  <c r="D75" i="1"/>
  <c r="I148" i="1"/>
  <c r="H148" i="1"/>
  <c r="G148" i="1"/>
  <c r="F148" i="1"/>
  <c r="E148" i="1"/>
  <c r="D148" i="1"/>
  <c r="I151" i="1"/>
  <c r="H151" i="1"/>
  <c r="G151" i="1"/>
  <c r="F151" i="1"/>
  <c r="E151" i="1"/>
  <c r="D151" i="1"/>
  <c r="G57" i="1"/>
  <c r="I74" i="1"/>
  <c r="H74" i="1"/>
  <c r="G74" i="1"/>
  <c r="F74" i="1"/>
  <c r="E74" i="1"/>
  <c r="D74" i="1" l="1"/>
  <c r="I79" i="1" l="1"/>
  <c r="H79" i="1"/>
  <c r="F79" i="1"/>
  <c r="E79" i="1"/>
  <c r="G121" i="1"/>
  <c r="H121" i="1" s="1"/>
  <c r="I121" i="1" s="1"/>
  <c r="F121" i="1"/>
  <c r="G118" i="1"/>
  <c r="H118" i="1" s="1"/>
  <c r="I118" i="1" s="1"/>
  <c r="F118" i="1"/>
  <c r="G117" i="1"/>
  <c r="H117" i="1" s="1"/>
  <c r="I117" i="1" s="1"/>
  <c r="F117" i="1"/>
  <c r="E121" i="1"/>
  <c r="E93" i="1"/>
  <c r="F93" i="1" s="1"/>
  <c r="G93" i="1" s="1"/>
  <c r="H93" i="1" s="1"/>
  <c r="I93" i="1" s="1"/>
  <c r="E99" i="1"/>
  <c r="F99" i="1" s="1"/>
  <c r="G99" i="1" s="1"/>
  <c r="H99" i="1" s="1"/>
  <c r="I99" i="1" s="1"/>
  <c r="M96" i="1"/>
  <c r="M88" i="1"/>
  <c r="M84" i="1"/>
  <c r="M82" i="1"/>
  <c r="E23" i="1"/>
  <c r="F23" i="1" s="1"/>
  <c r="H23" i="1" s="1"/>
  <c r="E22" i="1"/>
  <c r="G22" i="1" s="1"/>
  <c r="C24" i="1"/>
  <c r="I10" i="1"/>
  <c r="H10" i="1"/>
  <c r="F10" i="1"/>
  <c r="E10" i="1"/>
  <c r="D10" i="1"/>
  <c r="D24" i="1" s="1"/>
  <c r="I23" i="1" l="1"/>
  <c r="G23" i="1"/>
  <c r="F22" i="1"/>
  <c r="H22" i="1" l="1"/>
  <c r="I22" i="1" s="1"/>
  <c r="E20" i="1" l="1"/>
  <c r="F20" i="1" s="1"/>
  <c r="H20" i="1" s="1"/>
  <c r="I20" i="1" s="1"/>
  <c r="E19" i="1"/>
  <c r="F19" i="1" s="1"/>
  <c r="H19" i="1" s="1"/>
  <c r="I19" i="1" s="1"/>
  <c r="E18" i="1"/>
  <c r="F18" i="1" s="1"/>
  <c r="H18" i="1" s="1"/>
  <c r="I18" i="1" s="1"/>
  <c r="E17" i="1"/>
  <c r="F17" i="1" s="1"/>
  <c r="H17" i="1" s="1"/>
  <c r="I17" i="1" s="1"/>
  <c r="F12" i="1"/>
  <c r="E16" i="1"/>
  <c r="F16" i="1" s="1"/>
  <c r="H16" i="1" s="1"/>
  <c r="I16" i="1" s="1"/>
  <c r="E12" i="1"/>
  <c r="E24" i="1" l="1"/>
  <c r="F24" i="1"/>
  <c r="H12" i="1"/>
  <c r="H24" i="1" l="1"/>
  <c r="I12" i="1"/>
  <c r="I24" i="1" s="1"/>
  <c r="C16" i="8" l="1"/>
  <c r="D16" i="8"/>
  <c r="E16" i="8"/>
  <c r="F16" i="8"/>
  <c r="G16" i="8"/>
  <c r="Q106" i="9" l="1"/>
  <c r="V106" i="9"/>
  <c r="M83" i="1" l="1"/>
  <c r="M89" i="1"/>
  <c r="M90" i="1"/>
  <c r="M91" i="1"/>
  <c r="M92" i="1"/>
  <c r="M93" i="1"/>
  <c r="M94" i="1"/>
  <c r="M95" i="1"/>
  <c r="M97" i="1"/>
  <c r="M98" i="1"/>
  <c r="M99" i="1"/>
  <c r="E134" i="1"/>
  <c r="F134" i="1" s="1"/>
  <c r="H134" i="1" s="1"/>
  <c r="I134" i="1" s="1"/>
  <c r="E137" i="1"/>
  <c r="G137" i="1" s="1"/>
  <c r="E138" i="1"/>
  <c r="F138" i="1" s="1"/>
  <c r="H138" i="1" s="1"/>
  <c r="I138" i="1" s="1"/>
  <c r="E139" i="1"/>
  <c r="G139" i="1" s="1"/>
  <c r="E130" i="1"/>
  <c r="F130" i="1" s="1"/>
  <c r="H130" i="1" s="1"/>
  <c r="I130" i="1" s="1"/>
  <c r="E129" i="1"/>
  <c r="G129" i="1" s="1"/>
  <c r="E131" i="1"/>
  <c r="G131" i="1" s="1"/>
  <c r="E132" i="1"/>
  <c r="F132" i="1" s="1"/>
  <c r="H132" i="1" s="1"/>
  <c r="I132" i="1" s="1"/>
  <c r="E133" i="1"/>
  <c r="G133" i="1" s="1"/>
  <c r="E125" i="1"/>
  <c r="G125" i="1" s="1"/>
  <c r="F123" i="1"/>
  <c r="G123" i="1"/>
  <c r="H123" i="1"/>
  <c r="I123" i="1"/>
  <c r="E123" i="1"/>
  <c r="D152" i="1"/>
  <c r="E152" i="1" s="1"/>
  <c r="F152" i="1" s="1"/>
  <c r="G132" i="1" l="1"/>
  <c r="H152" i="1"/>
  <c r="I152" i="1" s="1"/>
  <c r="G152" i="1"/>
  <c r="F139" i="1"/>
  <c r="H139" i="1" s="1"/>
  <c r="I139" i="1" s="1"/>
  <c r="F125" i="1"/>
  <c r="H125" i="1" s="1"/>
  <c r="I125" i="1" s="1"/>
  <c r="F137" i="1"/>
  <c r="H137" i="1" s="1"/>
  <c r="I137" i="1" s="1"/>
  <c r="F133" i="1"/>
  <c r="H133" i="1" s="1"/>
  <c r="I133" i="1" s="1"/>
  <c r="F129" i="1"/>
  <c r="H129" i="1" s="1"/>
  <c r="I129" i="1" s="1"/>
  <c r="G138" i="1"/>
  <c r="G134" i="1"/>
  <c r="G130" i="1"/>
  <c r="F131" i="1"/>
  <c r="H131" i="1" s="1"/>
  <c r="I131" i="1" s="1"/>
  <c r="K121" i="1"/>
  <c r="L121" i="1" s="1"/>
  <c r="M121" i="1" s="1"/>
  <c r="D121" i="1" s="1"/>
  <c r="M120" i="1"/>
  <c r="M119" i="1"/>
  <c r="K118" i="1"/>
  <c r="L118" i="1" s="1"/>
  <c r="M118" i="1" s="1"/>
  <c r="D118" i="1" s="1"/>
  <c r="E118" i="1" s="1"/>
  <c r="K117" i="1"/>
  <c r="L117" i="1" s="1"/>
  <c r="L122" i="1" l="1"/>
  <c r="M122" i="1" s="1"/>
  <c r="M117" i="1"/>
  <c r="D117" i="1" s="1"/>
  <c r="E117" i="1" s="1"/>
  <c r="K28" i="8"/>
  <c r="L27" i="8" s="1"/>
  <c r="L24" i="8"/>
  <c r="L20" i="8"/>
  <c r="R27" i="8" l="1"/>
  <c r="Q27" i="8"/>
  <c r="P27" i="8"/>
  <c r="O27" i="8"/>
  <c r="N27" i="8"/>
  <c r="O24" i="8"/>
  <c r="N24" i="8"/>
  <c r="R24" i="8"/>
  <c r="Q24" i="8"/>
  <c r="P24" i="8"/>
  <c r="O20" i="8"/>
  <c r="R20" i="8"/>
  <c r="N20" i="8"/>
  <c r="Q20" i="8"/>
  <c r="M20" i="8"/>
  <c r="P20" i="8"/>
  <c r="L21" i="8"/>
  <c r="L25" i="8"/>
  <c r="L22" i="8"/>
  <c r="L26" i="8"/>
  <c r="L23" i="8"/>
  <c r="M21" i="8"/>
  <c r="M27" i="8"/>
  <c r="M24" i="8"/>
  <c r="M26" i="8"/>
  <c r="Q22" i="8" l="1"/>
  <c r="P22" i="8"/>
  <c r="O22" i="8"/>
  <c r="N22" i="8"/>
  <c r="R22" i="8"/>
  <c r="M22" i="8"/>
  <c r="M28" i="8" s="1"/>
  <c r="P25" i="8"/>
  <c r="P28" i="8" s="1"/>
  <c r="O25" i="8"/>
  <c r="N25" i="8"/>
  <c r="Q25" i="8"/>
  <c r="R25" i="8"/>
  <c r="L28" i="8"/>
  <c r="N28" i="8" s="1"/>
  <c r="M25" i="8"/>
  <c r="R23" i="8"/>
  <c r="Q23" i="8"/>
  <c r="O23" i="8"/>
  <c r="N23" i="8"/>
  <c r="P23" i="8"/>
  <c r="P21" i="8"/>
  <c r="O21" i="8"/>
  <c r="O28" i="8" s="1"/>
  <c r="N21" i="8"/>
  <c r="R21" i="8"/>
  <c r="R28" i="8" s="1"/>
  <c r="Q21" i="8"/>
  <c r="M23" i="8"/>
  <c r="Q26" i="8"/>
  <c r="Q28" i="8" s="1"/>
  <c r="P26" i="8"/>
  <c r="N26" i="8"/>
  <c r="R26" i="8"/>
  <c r="O26" i="8"/>
  <c r="G26" i="8"/>
  <c r="P14" i="8" s="1"/>
  <c r="C20" i="8"/>
  <c r="B28" i="8"/>
  <c r="C27" i="8"/>
  <c r="D27" i="8" s="1"/>
  <c r="C26" i="8"/>
  <c r="E26" i="8" s="1"/>
  <c r="C25" i="8"/>
  <c r="D25" i="8" s="1"/>
  <c r="C24" i="8"/>
  <c r="E24" i="8" s="1"/>
  <c r="G24" i="8" s="1"/>
  <c r="P12" i="8" s="1"/>
  <c r="C23" i="8"/>
  <c r="E23" i="8" s="1"/>
  <c r="G23" i="8" s="1"/>
  <c r="P11" i="8" s="1"/>
  <c r="C22" i="8"/>
  <c r="D22" i="8" s="1"/>
  <c r="C21" i="8"/>
  <c r="X9" i="8"/>
  <c r="X10" i="8"/>
  <c r="X11" i="8"/>
  <c r="X12" i="8"/>
  <c r="X13" i="8"/>
  <c r="X14" i="8"/>
  <c r="X15" i="8"/>
  <c r="X8" i="8"/>
  <c r="E21" i="8" l="1"/>
  <c r="G21" i="8" s="1"/>
  <c r="P9" i="8" s="1"/>
  <c r="D21" i="8"/>
  <c r="E20" i="8"/>
  <c r="G20" i="8" s="1"/>
  <c r="P8" i="8" s="1"/>
  <c r="D20" i="8"/>
  <c r="P16" i="8"/>
  <c r="E27" i="8"/>
  <c r="G27" i="8" s="1"/>
  <c r="P15" i="8" s="1"/>
  <c r="E25" i="8"/>
  <c r="G25" i="8" s="1"/>
  <c r="P13" i="8" s="1"/>
  <c r="E22" i="8"/>
  <c r="G22" i="8" s="1"/>
  <c r="P10" i="8" s="1"/>
  <c r="D23" i="8"/>
  <c r="D24" i="8"/>
  <c r="D26" i="8"/>
  <c r="C28" i="8"/>
  <c r="AK16" i="8"/>
  <c r="AG16" i="8"/>
  <c r="E154" i="1"/>
  <c r="F154" i="1" s="1"/>
  <c r="H154" i="1" s="1"/>
  <c r="I154" i="1" s="1"/>
  <c r="D140" i="1"/>
  <c r="E140" i="1" s="1"/>
  <c r="D136" i="1"/>
  <c r="E136" i="1" s="1"/>
  <c r="D135" i="1"/>
  <c r="E135" i="1" s="1"/>
  <c r="G154" i="1" l="1"/>
  <c r="G135" i="1"/>
  <c r="F135" i="1"/>
  <c r="H135" i="1" s="1"/>
  <c r="I135" i="1" s="1"/>
  <c r="G136" i="1"/>
  <c r="F136" i="1"/>
  <c r="H136" i="1" s="1"/>
  <c r="I136" i="1" s="1"/>
  <c r="F140" i="1"/>
  <c r="H140" i="1" s="1"/>
  <c r="I140" i="1" s="1"/>
  <c r="G140" i="1"/>
  <c r="E28" i="8"/>
  <c r="G28" i="8" s="1"/>
  <c r="D28" i="8"/>
  <c r="Q109" i="9" l="1"/>
  <c r="P109" i="9"/>
  <c r="O109" i="9"/>
  <c r="N109" i="9"/>
  <c r="M109" i="9"/>
  <c r="L109" i="9"/>
  <c r="K109" i="9"/>
  <c r="Q108" i="9"/>
  <c r="P108" i="9"/>
  <c r="O108" i="9"/>
  <c r="N108" i="9"/>
  <c r="S108" i="9" s="1"/>
  <c r="M108" i="9"/>
  <c r="L108" i="9"/>
  <c r="K108" i="9"/>
  <c r="Q107" i="9"/>
  <c r="P107" i="9"/>
  <c r="O107" i="9"/>
  <c r="N107" i="9"/>
  <c r="M107" i="9"/>
  <c r="R107" i="9" s="1"/>
  <c r="L107" i="9"/>
  <c r="K107" i="9"/>
  <c r="P106" i="9"/>
  <c r="O106" i="9"/>
  <c r="N106" i="9"/>
  <c r="M106" i="9"/>
  <c r="L106" i="9"/>
  <c r="L110" i="9" s="1"/>
  <c r="K106" i="9"/>
  <c r="K110" i="9" s="1"/>
  <c r="Q102" i="9"/>
  <c r="P102" i="9"/>
  <c r="O102" i="9"/>
  <c r="N102" i="9"/>
  <c r="M102" i="9"/>
  <c r="L102" i="9"/>
  <c r="K102" i="9"/>
  <c r="K103" i="9" s="1"/>
  <c r="P101" i="9"/>
  <c r="O101" i="9"/>
  <c r="N101" i="9"/>
  <c r="M101" i="9"/>
  <c r="L101" i="9"/>
  <c r="K101" i="9"/>
  <c r="P100" i="9"/>
  <c r="O100" i="9"/>
  <c r="N100" i="9"/>
  <c r="M100" i="9"/>
  <c r="L100" i="9"/>
  <c r="K100" i="9"/>
  <c r="P99" i="9"/>
  <c r="O99" i="9"/>
  <c r="N99" i="9"/>
  <c r="M99" i="9"/>
  <c r="L99" i="9"/>
  <c r="K99" i="9"/>
  <c r="P98" i="9"/>
  <c r="O98" i="9"/>
  <c r="N98" i="9"/>
  <c r="M98" i="9"/>
  <c r="L98" i="9"/>
  <c r="K98" i="9"/>
  <c r="P95" i="9"/>
  <c r="V95" i="9" s="1"/>
  <c r="O95" i="9"/>
  <c r="T95" i="9" s="1"/>
  <c r="N95" i="9"/>
  <c r="S95" i="9" s="1"/>
  <c r="M95" i="9"/>
  <c r="R95" i="9" s="1"/>
  <c r="L95" i="9"/>
  <c r="K95" i="9"/>
  <c r="P94" i="9"/>
  <c r="U94" i="9" s="1"/>
  <c r="O94" i="9"/>
  <c r="T94" i="9" s="1"/>
  <c r="N94" i="9"/>
  <c r="S94" i="9" s="1"/>
  <c r="M94" i="9"/>
  <c r="R94" i="9" s="1"/>
  <c r="L94" i="9"/>
  <c r="K94" i="9"/>
  <c r="P93" i="9"/>
  <c r="V93" i="9" s="1"/>
  <c r="O93" i="9"/>
  <c r="T93" i="9" s="1"/>
  <c r="N93" i="9"/>
  <c r="S93" i="9" s="1"/>
  <c r="M93" i="9"/>
  <c r="R93" i="9" s="1"/>
  <c r="L93" i="9"/>
  <c r="K93" i="9"/>
  <c r="P92" i="9"/>
  <c r="V92" i="9" s="1"/>
  <c r="O92" i="9"/>
  <c r="T92" i="9" s="1"/>
  <c r="N92" i="9"/>
  <c r="S92" i="9" s="1"/>
  <c r="M92" i="9"/>
  <c r="R92" i="9" s="1"/>
  <c r="L92" i="9"/>
  <c r="K92" i="9"/>
  <c r="P91" i="9"/>
  <c r="V91" i="9" s="1"/>
  <c r="O91" i="9"/>
  <c r="T91" i="9" s="1"/>
  <c r="N91" i="9"/>
  <c r="S91" i="9" s="1"/>
  <c r="M91" i="9"/>
  <c r="R91" i="9" s="1"/>
  <c r="L91" i="9"/>
  <c r="K91" i="9"/>
  <c r="P90" i="9"/>
  <c r="U90" i="9" s="1"/>
  <c r="O90" i="9"/>
  <c r="T90" i="9" s="1"/>
  <c r="N90" i="9"/>
  <c r="S90" i="9" s="1"/>
  <c r="M90" i="9"/>
  <c r="R90" i="9" s="1"/>
  <c r="L90" i="9"/>
  <c r="K90" i="9"/>
  <c r="P89" i="9"/>
  <c r="V89" i="9" s="1"/>
  <c r="O89" i="9"/>
  <c r="T89" i="9" s="1"/>
  <c r="N89" i="9"/>
  <c r="S89" i="9" s="1"/>
  <c r="M89" i="9"/>
  <c r="R89" i="9" s="1"/>
  <c r="L89" i="9"/>
  <c r="K89" i="9"/>
  <c r="V88" i="9"/>
  <c r="P88" i="9"/>
  <c r="U88" i="9" s="1"/>
  <c r="O88" i="9"/>
  <c r="T88" i="9" s="1"/>
  <c r="N88" i="9"/>
  <c r="S88" i="9" s="1"/>
  <c r="M88" i="9"/>
  <c r="R88" i="9" s="1"/>
  <c r="L88" i="9"/>
  <c r="K88" i="9"/>
  <c r="P87" i="9"/>
  <c r="V87" i="9" s="1"/>
  <c r="O87" i="9"/>
  <c r="T87" i="9" s="1"/>
  <c r="N87" i="9"/>
  <c r="S87" i="9" s="1"/>
  <c r="M87" i="9"/>
  <c r="R87" i="9" s="1"/>
  <c r="L87" i="9"/>
  <c r="K87" i="9"/>
  <c r="P86" i="9"/>
  <c r="U86" i="9" s="1"/>
  <c r="O86" i="9"/>
  <c r="T86" i="9" s="1"/>
  <c r="N86" i="9"/>
  <c r="S86" i="9" s="1"/>
  <c r="M86" i="9"/>
  <c r="R86" i="9" s="1"/>
  <c r="L86" i="9"/>
  <c r="K86" i="9"/>
  <c r="P85" i="9"/>
  <c r="V85" i="9" s="1"/>
  <c r="O85" i="9"/>
  <c r="T85" i="9" s="1"/>
  <c r="N85" i="9"/>
  <c r="S85" i="9" s="1"/>
  <c r="M85" i="9"/>
  <c r="R85" i="9" s="1"/>
  <c r="L85" i="9"/>
  <c r="K85" i="9"/>
  <c r="V84" i="9"/>
  <c r="P84" i="9"/>
  <c r="U84" i="9" s="1"/>
  <c r="O84" i="9"/>
  <c r="T84" i="9" s="1"/>
  <c r="N84" i="9"/>
  <c r="S84" i="9" s="1"/>
  <c r="M84" i="9"/>
  <c r="R84" i="9" s="1"/>
  <c r="L84" i="9"/>
  <c r="K84" i="9"/>
  <c r="P83" i="9"/>
  <c r="V83" i="9" s="1"/>
  <c r="O83" i="9"/>
  <c r="T83" i="9" s="1"/>
  <c r="N83" i="9"/>
  <c r="S83" i="9" s="1"/>
  <c r="M83" i="9"/>
  <c r="R83" i="9" s="1"/>
  <c r="L83" i="9"/>
  <c r="K83" i="9"/>
  <c r="P82" i="9"/>
  <c r="U82" i="9" s="1"/>
  <c r="O82" i="9"/>
  <c r="T82" i="9" s="1"/>
  <c r="N82" i="9"/>
  <c r="S82" i="9" s="1"/>
  <c r="M82" i="9"/>
  <c r="R82" i="9" s="1"/>
  <c r="L82" i="9"/>
  <c r="K82" i="9"/>
  <c r="Q81" i="9"/>
  <c r="P81" i="9"/>
  <c r="O81" i="9"/>
  <c r="N81" i="9"/>
  <c r="M81" i="9"/>
  <c r="L81" i="9"/>
  <c r="K81" i="9"/>
  <c r="V80" i="9"/>
  <c r="U80" i="9"/>
  <c r="T80" i="9"/>
  <c r="S80" i="9"/>
  <c r="R80" i="9"/>
  <c r="V79" i="9"/>
  <c r="U79" i="9"/>
  <c r="T79" i="9"/>
  <c r="S79" i="9"/>
  <c r="R79" i="9"/>
  <c r="V78" i="9"/>
  <c r="U78" i="9"/>
  <c r="T78" i="9"/>
  <c r="S78" i="9"/>
  <c r="R78" i="9"/>
  <c r="Q77" i="9"/>
  <c r="P77" i="9"/>
  <c r="O77" i="9"/>
  <c r="N77" i="9"/>
  <c r="M77" i="9"/>
  <c r="L77" i="9"/>
  <c r="K77" i="9"/>
  <c r="Q76" i="9"/>
  <c r="P76" i="9"/>
  <c r="O76" i="9"/>
  <c r="N76" i="9"/>
  <c r="M76" i="9"/>
  <c r="L76" i="9"/>
  <c r="K76" i="9"/>
  <c r="K96" i="9" s="1"/>
  <c r="V19" i="9"/>
  <c r="U19" i="9"/>
  <c r="T19" i="9"/>
  <c r="S19" i="9"/>
  <c r="R19" i="9"/>
  <c r="V18" i="9"/>
  <c r="U18" i="9"/>
  <c r="T18" i="9"/>
  <c r="S18" i="9"/>
  <c r="R18" i="9"/>
  <c r="Q17" i="9"/>
  <c r="P17" i="9"/>
  <c r="O17" i="9"/>
  <c r="N17" i="9"/>
  <c r="M17" i="9"/>
  <c r="L17" i="9"/>
  <c r="C17" i="9"/>
  <c r="K17" i="9" s="1"/>
  <c r="V16" i="9"/>
  <c r="O16" i="9"/>
  <c r="U16" i="9" s="1"/>
  <c r="N16" i="9"/>
  <c r="M16" i="9"/>
  <c r="R16" i="9" s="1"/>
  <c r="K16" i="9"/>
  <c r="V15" i="9"/>
  <c r="O15" i="9"/>
  <c r="N15" i="9"/>
  <c r="S15" i="9" s="1"/>
  <c r="M15" i="9"/>
  <c r="R15" i="9" s="1"/>
  <c r="K15" i="9"/>
  <c r="V14" i="9"/>
  <c r="O14" i="9"/>
  <c r="U14" i="9" s="1"/>
  <c r="N14" i="9"/>
  <c r="S14" i="9" s="1"/>
  <c r="M14" i="9"/>
  <c r="R14" i="9" s="1"/>
  <c r="K14" i="9"/>
  <c r="V13" i="9"/>
  <c r="O13" i="9"/>
  <c r="U13" i="9" s="1"/>
  <c r="N13" i="9"/>
  <c r="M13" i="9"/>
  <c r="R13" i="9" s="1"/>
  <c r="K13" i="9"/>
  <c r="V12" i="9"/>
  <c r="O12" i="9"/>
  <c r="U12" i="9" s="1"/>
  <c r="N12" i="9"/>
  <c r="M12" i="9"/>
  <c r="R12" i="9" s="1"/>
  <c r="K12" i="9"/>
  <c r="P20" i="9"/>
  <c r="O20" i="9"/>
  <c r="K11" i="9"/>
  <c r="K20" i="9" s="1"/>
  <c r="H16" i="8"/>
  <c r="B16" i="8"/>
  <c r="T109" i="9" l="1"/>
  <c r="O96" i="9"/>
  <c r="Q96" i="9"/>
  <c r="Q103" i="9" s="1"/>
  <c r="N96" i="9"/>
  <c r="N103" i="9" s="1"/>
  <c r="Q20" i="9"/>
  <c r="N20" i="9"/>
  <c r="M20" i="9"/>
  <c r="V109" i="9"/>
  <c r="V108" i="9"/>
  <c r="V107" i="9"/>
  <c r="U107" i="9"/>
  <c r="U106" i="9"/>
  <c r="U109" i="9"/>
  <c r="U108" i="9"/>
  <c r="T108" i="9"/>
  <c r="N110" i="9"/>
  <c r="T107" i="9"/>
  <c r="T106" i="9"/>
  <c r="S109" i="9"/>
  <c r="S107" i="9"/>
  <c r="V102" i="9"/>
  <c r="U102" i="9"/>
  <c r="T102" i="9"/>
  <c r="R102" i="9"/>
  <c r="P96" i="9"/>
  <c r="P103" i="9" s="1"/>
  <c r="V77" i="9"/>
  <c r="V81" i="9"/>
  <c r="U96" i="9"/>
  <c r="U81" i="9"/>
  <c r="U77" i="9"/>
  <c r="T81" i="9"/>
  <c r="T77" i="9"/>
  <c r="M96" i="9"/>
  <c r="S77" i="9"/>
  <c r="S81" i="9"/>
  <c r="R81" i="9"/>
  <c r="T17" i="9"/>
  <c r="S13" i="9"/>
  <c r="S16" i="9"/>
  <c r="V17" i="9"/>
  <c r="S17" i="9"/>
  <c r="S12" i="9"/>
  <c r="T15" i="9"/>
  <c r="U17" i="9"/>
  <c r="R106" i="9"/>
  <c r="R109" i="9"/>
  <c r="R108" i="9"/>
  <c r="L96" i="9"/>
  <c r="R77" i="9"/>
  <c r="L20" i="9"/>
  <c r="R20" i="9" s="1"/>
  <c r="R17" i="9"/>
  <c r="K111" i="9"/>
  <c r="V20" i="9"/>
  <c r="T20" i="9"/>
  <c r="U20" i="9"/>
  <c r="T96" i="9"/>
  <c r="U11" i="9"/>
  <c r="T12" i="9"/>
  <c r="U15" i="9"/>
  <c r="T16" i="9"/>
  <c r="T76" i="9"/>
  <c r="V82" i="9"/>
  <c r="U85" i="9"/>
  <c r="V86" i="9"/>
  <c r="U89" i="9"/>
  <c r="V90" i="9"/>
  <c r="U93" i="9"/>
  <c r="V94" i="9"/>
  <c r="S102" i="9"/>
  <c r="O103" i="9"/>
  <c r="S106" i="9"/>
  <c r="O110" i="9"/>
  <c r="R11" i="9"/>
  <c r="V11" i="9"/>
  <c r="T13" i="9"/>
  <c r="U76" i="9"/>
  <c r="U92" i="9"/>
  <c r="P110" i="9"/>
  <c r="T14" i="9"/>
  <c r="R76" i="9"/>
  <c r="V76" i="9"/>
  <c r="U83" i="9"/>
  <c r="U87" i="9"/>
  <c r="U91" i="9"/>
  <c r="U95" i="9"/>
  <c r="M110" i="9"/>
  <c r="R110" i="9" s="1"/>
  <c r="Q110" i="9"/>
  <c r="V110" i="9" s="1"/>
  <c r="T11" i="9"/>
  <c r="S76" i="9"/>
  <c r="T110" i="9" l="1"/>
  <c r="V96" i="9"/>
  <c r="S96" i="9"/>
  <c r="U103" i="9"/>
  <c r="M103" i="9"/>
  <c r="M111" i="9" s="1"/>
  <c r="U110" i="9"/>
  <c r="R96" i="9"/>
  <c r="L103" i="9"/>
  <c r="L111" i="9" s="1"/>
  <c r="T103" i="9"/>
  <c r="S110" i="9"/>
  <c r="N111" i="9"/>
  <c r="O111" i="9"/>
  <c r="V103" i="9"/>
  <c r="P111" i="9"/>
  <c r="Q111" i="9"/>
  <c r="S103" i="9" l="1"/>
  <c r="S111" i="9"/>
  <c r="R111" i="9"/>
  <c r="U111" i="9"/>
  <c r="V111" i="9"/>
  <c r="T111" i="9"/>
  <c r="E156" i="1" l="1"/>
  <c r="F156" i="1"/>
  <c r="G156" i="1"/>
  <c r="H156" i="1"/>
  <c r="I156" i="1"/>
  <c r="I158" i="1" l="1"/>
  <c r="H158" i="1"/>
  <c r="G158" i="1"/>
  <c r="F158" i="1"/>
  <c r="E158" i="1"/>
  <c r="D158" i="1"/>
  <c r="C158" i="1"/>
  <c r="D156" i="1" l="1"/>
  <c r="C156" i="1"/>
  <c r="U6" i="8" l="1"/>
  <c r="T6" i="8"/>
  <c r="S7" i="8"/>
  <c r="R7" i="8"/>
  <c r="Q7" i="8"/>
  <c r="P6" i="8"/>
  <c r="O6" i="8"/>
  <c r="N6" i="8"/>
  <c r="M7" i="8"/>
  <c r="L7" i="8"/>
  <c r="K7" i="8"/>
  <c r="J6" i="8"/>
  <c r="I6" i="8"/>
  <c r="H6" i="8"/>
</calcChain>
</file>

<file path=xl/comments1.xml><?xml version="1.0" encoding="utf-8"?>
<comments xmlns="http://schemas.openxmlformats.org/spreadsheetml/2006/main">
  <authors>
    <author>Орлова Юлия Анатольевна</author>
    <author>Салдушева Анастасия Валерьевна</author>
  </authors>
  <commentList>
    <comment ref="E12" authorId="0">
      <text>
        <r>
          <rPr>
            <b/>
            <sz val="9"/>
            <color indexed="81"/>
            <rFont val="Tahoma"/>
            <family val="2"/>
            <charset val="204"/>
          </rPr>
          <t>Орлова Юлия Анатольевна:</t>
        </r>
        <r>
          <rPr>
            <sz val="9"/>
            <color indexed="81"/>
            <rFont val="Tahoma"/>
            <family val="2"/>
            <charset val="204"/>
          </rPr>
          <t xml:space="preserve">
прогноз РФ</t>
        </r>
      </text>
    </comment>
    <comment ref="E16" authorId="0">
      <text>
        <r>
          <rPr>
            <b/>
            <sz val="9"/>
            <color indexed="81"/>
            <rFont val="Tahoma"/>
            <family val="2"/>
            <charset val="204"/>
          </rPr>
          <t>Орлова Юлия Анатольевна:</t>
        </r>
        <r>
          <rPr>
            <sz val="9"/>
            <color indexed="81"/>
            <rFont val="Tahoma"/>
            <family val="2"/>
            <charset val="204"/>
          </rPr>
          <t xml:space="preserve">
Прогноз РФ</t>
        </r>
      </text>
    </comment>
    <comment ref="C24" authorId="1">
      <text>
        <r>
          <rPr>
            <b/>
            <sz val="9"/>
            <color indexed="81"/>
            <rFont val="Tahoma"/>
            <family val="2"/>
            <charset val="204"/>
          </rPr>
          <t>Салдушева Анастасия Валерьевна:</t>
        </r>
        <r>
          <rPr>
            <sz val="9"/>
            <color indexed="81"/>
            <rFont val="Tahoma"/>
            <family val="2"/>
            <charset val="204"/>
          </rPr>
          <t xml:space="preserve">
разница</t>
        </r>
      </text>
    </comment>
    <comment ref="E79" authorId="0">
      <text>
        <r>
          <rPr>
            <b/>
            <sz val="9"/>
            <color indexed="81"/>
            <rFont val="Tahoma"/>
            <family val="2"/>
            <charset val="204"/>
          </rPr>
          <t>Орлова Юлия Анатольевна:</t>
        </r>
        <r>
          <rPr>
            <sz val="9"/>
            <color indexed="81"/>
            <rFont val="Tahoma"/>
            <family val="2"/>
            <charset val="204"/>
          </rPr>
          <t xml:space="preserve">
в т.ч. 734,18 ОЭЗ</t>
        </r>
      </text>
    </comment>
    <comment ref="D107" authorId="0">
      <text>
        <r>
          <rPr>
            <b/>
            <sz val="9"/>
            <color indexed="81"/>
            <rFont val="Tahoma"/>
            <family val="2"/>
            <charset val="204"/>
          </rPr>
          <t>Орлова Юлия Анатольевна:</t>
        </r>
        <r>
          <rPr>
            <sz val="9"/>
            <color indexed="81"/>
            <rFont val="Tahoma"/>
            <family val="2"/>
            <charset val="204"/>
          </rPr>
          <t xml:space="preserve">
спад на всю дельту</t>
        </r>
      </text>
    </comment>
    <comment ref="D135" authorId="0">
      <text>
        <r>
          <rPr>
            <b/>
            <sz val="9"/>
            <color indexed="81"/>
            <rFont val="Tahoma"/>
            <family val="2"/>
            <charset val="204"/>
          </rPr>
          <t>Орлова Юлия Анатольевна:</t>
        </r>
        <r>
          <rPr>
            <sz val="9"/>
            <color indexed="81"/>
            <rFont val="Tahoma"/>
            <family val="2"/>
            <charset val="204"/>
          </rPr>
          <t xml:space="preserve">
2019* на реальная з/п по сценарным факт 20</t>
        </r>
      </text>
    </comment>
    <comment ref="D136" authorId="0">
      <text>
        <r>
          <rPr>
            <b/>
            <sz val="9"/>
            <color indexed="81"/>
            <rFont val="Tahoma"/>
            <family val="2"/>
            <charset val="204"/>
          </rPr>
          <t>Орлова Юлия Анатольевна:</t>
        </r>
        <r>
          <rPr>
            <sz val="9"/>
            <color indexed="81"/>
            <rFont val="Tahoma"/>
            <family val="2"/>
            <charset val="204"/>
          </rPr>
          <t xml:space="preserve">
2019* реальная з/п сценарные факт 20
</t>
        </r>
      </text>
    </comment>
    <comment ref="D140" authorId="0">
      <text>
        <r>
          <rPr>
            <b/>
            <sz val="9"/>
            <color indexed="81"/>
            <rFont val="Tahoma"/>
            <family val="2"/>
            <charset val="204"/>
          </rPr>
          <t>Орлова Юлия Анатольевна:</t>
        </r>
        <r>
          <rPr>
            <sz val="9"/>
            <color indexed="81"/>
            <rFont val="Tahoma"/>
            <family val="2"/>
            <charset val="204"/>
          </rPr>
          <t xml:space="preserve">
2019* сценарные факт 20 реальная з/пл</t>
        </r>
      </text>
    </comment>
    <comment ref="D152" authorId="0">
      <text>
        <r>
          <rPr>
            <b/>
            <sz val="9"/>
            <color indexed="81"/>
            <rFont val="Tahoma"/>
            <family val="2"/>
            <charset val="204"/>
          </rPr>
          <t>Орлова Юлия Анатольевна:</t>
        </r>
        <r>
          <rPr>
            <sz val="9"/>
            <color indexed="81"/>
            <rFont val="Tahoma"/>
            <family val="2"/>
            <charset val="204"/>
          </rPr>
          <t xml:space="preserve">
темп з/пл стат 20</t>
        </r>
      </text>
    </comment>
  </commentList>
</comments>
</file>

<file path=xl/comments2.xml><?xml version="1.0" encoding="utf-8"?>
<comments xmlns="http://schemas.openxmlformats.org/spreadsheetml/2006/main">
  <authors>
    <author>Салдушева Анастасия Валерьевна</author>
    <author>Орлова Юлия Анатольевна</author>
  </authors>
  <commentList>
    <comment ref="D11" authorId="0">
      <text>
        <r>
          <rPr>
            <b/>
            <sz val="14"/>
            <color indexed="81"/>
            <rFont val="Tahoma"/>
            <family val="2"/>
            <charset val="204"/>
          </rPr>
          <t>Салдушева Анастасия Валерьевна:</t>
        </r>
        <r>
          <rPr>
            <sz val="14"/>
            <color indexed="81"/>
            <rFont val="Tahoma"/>
            <family val="2"/>
            <charset val="204"/>
          </rPr>
          <t xml:space="preserve">
данные ацгк взяты по ответу их к аналитическому за 2019 год, в 2020 году взяты данные из их ответа к прогнозу оценки 2020 года (спад из-за короны)</t>
        </r>
      </text>
    </comment>
    <comment ref="F11" authorId="1">
      <text>
        <r>
          <rPr>
            <b/>
            <sz val="9"/>
            <color indexed="81"/>
            <rFont val="Tahoma"/>
            <family val="2"/>
            <charset val="204"/>
          </rPr>
          <t>Орлова Юлия Анатольевна:</t>
        </r>
        <r>
          <rPr>
            <sz val="9"/>
            <color indexed="81"/>
            <rFont val="Tahoma"/>
            <family val="2"/>
            <charset val="204"/>
          </rPr>
          <t xml:space="preserve">
</t>
        </r>
        <r>
          <rPr>
            <sz val="12"/>
            <color indexed="81"/>
            <rFont val="Tahoma"/>
            <family val="2"/>
            <charset val="204"/>
          </rPr>
          <t>АЦГК прогноз</t>
        </r>
      </text>
    </comment>
    <comment ref="D102" authorId="0">
      <text>
        <r>
          <rPr>
            <b/>
            <sz val="9"/>
            <color indexed="81"/>
            <rFont val="Tahoma"/>
            <family val="2"/>
            <charset val="204"/>
          </rPr>
          <t>Салдушева Анастасия Валерьевна:</t>
        </r>
        <r>
          <rPr>
            <sz val="9"/>
            <color indexed="81"/>
            <rFont val="Tahoma"/>
            <family val="2"/>
            <charset val="204"/>
          </rPr>
          <t xml:space="preserve">
</t>
        </r>
        <r>
          <rPr>
            <sz val="12"/>
            <color indexed="81"/>
            <rFont val="Tahoma"/>
            <family val="2"/>
            <charset val="204"/>
          </rPr>
          <t>в отчете мэра и аналитическом ошибка (недобор) было 2588,2</t>
        </r>
      </text>
    </comment>
  </commentList>
</comments>
</file>

<file path=xl/comments3.xml><?xml version="1.0" encoding="utf-8"?>
<comments xmlns="http://schemas.openxmlformats.org/spreadsheetml/2006/main">
  <authors>
    <author>Орлова Юлия Анатольевна</author>
    <author>Салдушева Анастасия Валерьевна</author>
  </authors>
  <commentList>
    <comment ref="AD5" authorId="0">
      <text>
        <r>
          <rPr>
            <b/>
            <sz val="9"/>
            <color indexed="81"/>
            <rFont val="Tahoma"/>
            <family val="2"/>
            <charset val="204"/>
          </rPr>
          <t>Орлова Юлия Анатольевна:</t>
        </r>
        <r>
          <rPr>
            <sz val="9"/>
            <color indexed="81"/>
            <rFont val="Tahoma"/>
            <family val="2"/>
            <charset val="204"/>
          </rPr>
          <t xml:space="preserve">
транспортировка и хранение + деят-ть в обл информации и связи</t>
        </r>
      </text>
    </comment>
    <comment ref="AG6" authorId="0">
      <text>
        <r>
          <rPr>
            <b/>
            <sz val="9"/>
            <color indexed="81"/>
            <rFont val="Tahoma"/>
            <family val="2"/>
            <charset val="204"/>
          </rPr>
          <t>Орлова Юлия Анатольевна:</t>
        </r>
        <r>
          <rPr>
            <sz val="9"/>
            <color indexed="81"/>
            <rFont val="Tahoma"/>
            <family val="2"/>
            <charset val="204"/>
          </rPr>
          <t xml:space="preserve">
по факт реестр на 01.07.21</t>
        </r>
      </text>
    </comment>
    <comment ref="Z8" authorId="1">
      <text>
        <r>
          <rPr>
            <b/>
            <sz val="9"/>
            <color indexed="81"/>
            <rFont val="Tahoma"/>
            <family val="2"/>
            <charset val="204"/>
          </rPr>
          <t>Салдушева Анастасия Валерьевна:</t>
        </r>
        <r>
          <rPr>
            <sz val="9"/>
            <color indexed="81"/>
            <rFont val="Tahoma"/>
            <family val="2"/>
            <charset val="204"/>
          </rPr>
          <t xml:space="preserve">
10 садоводств, остальные по реестру смсп 2020 фильтр по оквэд и ручной подсчет по населенным пунктам</t>
        </r>
      </text>
    </comment>
    <comment ref="AC8" authorId="1">
      <text>
        <r>
          <rPr>
            <b/>
            <sz val="9"/>
            <color indexed="81"/>
            <rFont val="Tahoma"/>
            <family val="2"/>
            <charset val="204"/>
          </rPr>
          <t>Салдушева Анастасия Валерьевна:</t>
        </r>
        <r>
          <rPr>
            <sz val="9"/>
            <color indexed="81"/>
            <rFont val="Tahoma"/>
            <family val="2"/>
            <charset val="204"/>
          </rPr>
          <t xml:space="preserve">
+хлеб соль, светофор</t>
        </r>
      </text>
    </comment>
    <comment ref="AE8" authorId="1">
      <text>
        <r>
          <rPr>
            <b/>
            <sz val="9"/>
            <color indexed="81"/>
            <rFont val="Tahoma"/>
            <family val="2"/>
            <charset val="204"/>
          </rPr>
          <t>Салдушева Анастасия Валерьевна:</t>
        </r>
        <r>
          <rPr>
            <sz val="9"/>
            <color indexed="81"/>
            <rFont val="Tahoma"/>
            <family val="2"/>
            <charset val="204"/>
          </rPr>
          <t xml:space="preserve">
методом разницы с прошлогодним прогнозом и нынешней суммой по оквэд</t>
        </r>
      </text>
    </comment>
    <comment ref="AL8" authorId="1">
      <text>
        <r>
          <rPr>
            <b/>
            <sz val="9"/>
            <color indexed="81"/>
            <rFont val="Tahoma"/>
            <family val="2"/>
            <charset val="204"/>
          </rPr>
          <t>Салдушева Анастасия Валерьевна:</t>
        </r>
        <r>
          <rPr>
            <sz val="9"/>
            <color indexed="81"/>
            <rFont val="Tahoma"/>
            <family val="2"/>
            <charset val="204"/>
          </rPr>
          <t xml:space="preserve">
+муп кос бмо и муп газета</t>
        </r>
      </text>
    </comment>
    <comment ref="Z9" authorId="1">
      <text>
        <r>
          <rPr>
            <b/>
            <sz val="9"/>
            <color indexed="81"/>
            <rFont val="Tahoma"/>
            <family val="2"/>
            <charset val="204"/>
          </rPr>
          <t>Салдушева Анастасия Валерьевна:</t>
        </r>
        <r>
          <rPr>
            <sz val="9"/>
            <color indexed="81"/>
            <rFont val="Tahoma"/>
            <family val="2"/>
            <charset val="204"/>
          </rPr>
          <t xml:space="preserve">
10 садоводств и отальные по реестру смсп за 2020 год</t>
        </r>
      </text>
    </comment>
    <comment ref="AA9" authorId="1">
      <text>
        <r>
          <rPr>
            <b/>
            <sz val="9"/>
            <color indexed="81"/>
            <rFont val="Tahoma"/>
            <family val="2"/>
            <charset val="204"/>
          </rPr>
          <t>Салдушева Анастасия Валерьевна:</t>
        </r>
        <r>
          <rPr>
            <sz val="9"/>
            <color indexed="81"/>
            <rFont val="Tahoma"/>
            <family val="2"/>
            <charset val="204"/>
          </rPr>
          <t xml:space="preserve">
лесхоз</t>
        </r>
      </text>
    </comment>
    <comment ref="AB9" authorId="1">
      <text>
        <r>
          <rPr>
            <b/>
            <sz val="9"/>
            <color indexed="81"/>
            <rFont val="Tahoma"/>
            <family val="2"/>
            <charset val="204"/>
          </rPr>
          <t>Салдушева Анастасия Валерьевна:</t>
        </r>
        <r>
          <rPr>
            <sz val="9"/>
            <color indexed="81"/>
            <rFont val="Tahoma"/>
            <family val="2"/>
            <charset val="204"/>
          </rPr>
          <t xml:space="preserve">
по реестру смсп +дорожник</t>
        </r>
      </text>
    </comment>
    <comment ref="AC9" authorId="1">
      <text>
        <r>
          <rPr>
            <b/>
            <sz val="9"/>
            <color indexed="81"/>
            <rFont val="Tahoma"/>
            <family val="2"/>
            <charset val="204"/>
          </rPr>
          <t>Салдушева Анастасия Валерьевна:</t>
        </r>
        <r>
          <rPr>
            <sz val="9"/>
            <color indexed="81"/>
            <rFont val="Tahoma"/>
            <family val="2"/>
            <charset val="204"/>
          </rPr>
          <t xml:space="preserve">
+хлеб соль, светофор,фикспрайс
</t>
        </r>
      </text>
    </comment>
    <comment ref="AD9" authorId="1">
      <text>
        <r>
          <rPr>
            <b/>
            <sz val="9"/>
            <color indexed="81"/>
            <rFont val="Tahoma"/>
            <family val="2"/>
            <charset val="204"/>
          </rPr>
          <t>Салдушева Анастасия Валерьевна:</t>
        </r>
        <r>
          <rPr>
            <sz val="9"/>
            <color indexed="81"/>
            <rFont val="Tahoma"/>
            <family val="2"/>
            <charset val="204"/>
          </rPr>
          <t xml:space="preserve">
по реестру смсп+статуссиб</t>
        </r>
      </text>
    </comment>
    <comment ref="AL9" authorId="1">
      <text>
        <r>
          <rPr>
            <b/>
            <sz val="9"/>
            <color indexed="81"/>
            <rFont val="Tahoma"/>
            <family val="2"/>
            <charset val="204"/>
          </rPr>
          <t>Салдушева Анастасия Валерьевна:</t>
        </r>
        <r>
          <rPr>
            <sz val="9"/>
            <color indexed="81"/>
            <rFont val="Tahoma"/>
            <family val="2"/>
            <charset val="204"/>
          </rPr>
          <t xml:space="preserve">
+мау сл море, мау цех и лагерь и ирц</t>
        </r>
      </text>
    </comment>
    <comment ref="AC10" authorId="1">
      <text>
        <r>
          <rPr>
            <b/>
            <sz val="9"/>
            <color indexed="81"/>
            <rFont val="Tahoma"/>
            <family val="2"/>
            <charset val="204"/>
          </rPr>
          <t>Салдушева Анастасия Валерьевна:</t>
        </r>
        <r>
          <rPr>
            <sz val="9"/>
            <color indexed="81"/>
            <rFont val="Tahoma"/>
            <family val="2"/>
            <charset val="204"/>
          </rPr>
          <t xml:space="preserve">
+ хлеб соль</t>
        </r>
      </text>
    </comment>
    <comment ref="Z12" authorId="1">
      <text>
        <r>
          <rPr>
            <b/>
            <sz val="9"/>
            <color indexed="81"/>
            <rFont val="Tahoma"/>
            <family val="2"/>
            <charset val="204"/>
          </rPr>
          <t>Салдушева Анастасия Валерьевна:</t>
        </r>
        <r>
          <rPr>
            <sz val="9"/>
            <color indexed="81"/>
            <rFont val="Tahoma"/>
            <family val="2"/>
            <charset val="204"/>
          </rPr>
          <t xml:space="preserve">
3 садоводства и остальные по реестру смсп 2020
</t>
        </r>
      </text>
    </comment>
  </commentList>
</comments>
</file>

<file path=xl/sharedStrings.xml><?xml version="1.0" encoding="utf-8"?>
<sst xmlns="http://schemas.openxmlformats.org/spreadsheetml/2006/main" count="661" uniqueCount="323">
  <si>
    <t>Индекс промышленного производства</t>
  </si>
  <si>
    <t>Объем инвестиций в основной капитал за счет всех источников -  всего</t>
  </si>
  <si>
    <t>Прочие доходы</t>
  </si>
  <si>
    <t xml:space="preserve">2 вариант </t>
  </si>
  <si>
    <t>Наименование показателя</t>
  </si>
  <si>
    <t>Ед. изм.</t>
  </si>
  <si>
    <t>Итоги развития МО</t>
  </si>
  <si>
    <t>млн.руб.</t>
  </si>
  <si>
    <t>в т.ч. по видам экономической деятельности:</t>
  </si>
  <si>
    <t>%</t>
  </si>
  <si>
    <t>руб.</t>
  </si>
  <si>
    <t>Состояние основных видов экономической деятельности хозяйствующих субъектов МО</t>
  </si>
  <si>
    <t>Валовый выпуск продукции  в сельхозорганизациях</t>
  </si>
  <si>
    <t>Строительство</t>
  </si>
  <si>
    <t>Ввод в действие жилых домов</t>
  </si>
  <si>
    <t>кв. м</t>
  </si>
  <si>
    <t>Введено жилья на душу населения</t>
  </si>
  <si>
    <t>Торговля</t>
  </si>
  <si>
    <t xml:space="preserve">Розничный товарооборот </t>
  </si>
  <si>
    <t xml:space="preserve">Индекс физического объема </t>
  </si>
  <si>
    <t>Малый бизнес</t>
  </si>
  <si>
    <t>ед.</t>
  </si>
  <si>
    <t>тыс.чел.</t>
  </si>
  <si>
    <t>тыс. чел.</t>
  </si>
  <si>
    <t>в том числе:</t>
  </si>
  <si>
    <t>Выплаты социального характера</t>
  </si>
  <si>
    <t>(органы местного самоуправления при необходимости дополняют номенклатуру продукции)</t>
  </si>
  <si>
    <t>Средняя цена за единицу продукции, тыс. рублей</t>
  </si>
  <si>
    <t>А</t>
  </si>
  <si>
    <t>ПРОМЫШЛЕННОЕ ПРОИЗВОДСТВО:</t>
  </si>
  <si>
    <t>тыс. м3</t>
  </si>
  <si>
    <t>т</t>
  </si>
  <si>
    <t>ИТОГО</t>
  </si>
  <si>
    <t>тыс. шт</t>
  </si>
  <si>
    <t>тыс.шт</t>
  </si>
  <si>
    <t>тыс.т</t>
  </si>
  <si>
    <t>зерно</t>
  </si>
  <si>
    <t>картофель</t>
  </si>
  <si>
    <t>овощи</t>
  </si>
  <si>
    <t>мясо</t>
  </si>
  <si>
    <t>молоко</t>
  </si>
  <si>
    <t>яйца</t>
  </si>
  <si>
    <t>Государственное управление и обеспечение военной безопасности; обязательное социальное обеспечение</t>
  </si>
  <si>
    <t>Добыча полезных ископаемых</t>
  </si>
  <si>
    <t>Обрабатывающие производства</t>
  </si>
  <si>
    <t>Транспорт и связь</t>
  </si>
  <si>
    <t>Образование</t>
  </si>
  <si>
    <t>Здравоохранение и предоставление социальных услуг</t>
  </si>
  <si>
    <t>из них по отраслям социальной сферы:</t>
  </si>
  <si>
    <t>Прочие</t>
  </si>
  <si>
    <t>ГВт.ч
 (млн.  Квт.ч.)</t>
  </si>
  <si>
    <t>1500*</t>
  </si>
  <si>
    <t>90,8*</t>
  </si>
  <si>
    <t>296,3*</t>
  </si>
  <si>
    <t>109,5*</t>
  </si>
  <si>
    <t>315,2*</t>
  </si>
  <si>
    <t>444*</t>
  </si>
  <si>
    <t>х</t>
  </si>
  <si>
    <t>Наименование элементарного вида деятельности,
 товара-представителя</t>
  </si>
  <si>
    <t>*) сопоставимая цена 1994 г. (рублей за единицу продукции)</t>
  </si>
  <si>
    <t xml:space="preserve">В том числе из общей численности работающих численность работников бюджетной сферы, финансируемой из консолидированного местного бюджета-всего, </t>
  </si>
  <si>
    <t xml:space="preserve">***) В данной форме органы местного самоуправления показывают только ту продукцию, которая производится в муниципальном образовании, остальные наименования товаров удаляются. </t>
  </si>
  <si>
    <t xml:space="preserve">1 вариант </t>
  </si>
  <si>
    <t>Приложение 1</t>
  </si>
  <si>
    <t>Приложение 3 к прогнозу</t>
  </si>
  <si>
    <t>Прогноз на:</t>
  </si>
  <si>
    <t>Количество индивидуальных предпринимателей</t>
  </si>
  <si>
    <t>Промышленное производство:</t>
  </si>
  <si>
    <t xml:space="preserve"> в том числе по видам экономической деятельности:</t>
  </si>
  <si>
    <t>Индекс промышленного производства - всего***:</t>
  </si>
  <si>
    <t xml:space="preserve">Расчет индексов производства продукции
по элементарному виду деятельности,  исходя из динамики по товарам-представителям
</t>
  </si>
  <si>
    <t>Произведено продукции в натуральном выражении</t>
  </si>
  <si>
    <t>Число действующих микропредприятий - всего</t>
  </si>
  <si>
    <t>Среднемесячная начисленная заработная плата работников малых предприятий (с учетом микропредприятий)</t>
  </si>
  <si>
    <t>Уд. вес выручки предприятий малого бизнеса (с учетом микропредприятий) в выручке  в целом по МО</t>
  </si>
  <si>
    <t xml:space="preserve">В том числе из общей численности работающих численность работников малых предприятий (с учетом микропредприятий)-всего, </t>
  </si>
  <si>
    <t>Среднесписочная численность работников (без внешних совместителей) по полному кругу организаций,</t>
  </si>
  <si>
    <t xml:space="preserve">Фонд начисленной заработной платы по полному кругу организаций, </t>
  </si>
  <si>
    <t>Фонд начисленной заработной платы работников малых предприятий (с учетом микропредприятий)</t>
  </si>
  <si>
    <t>Среднемесячная начисленная заработная плата (без выплат социального характера) по полному кругу организаций,</t>
  </si>
  <si>
    <t xml:space="preserve">Выручка от реализации продукции, работ, услуг (в действующих ценах) по полному кругу организаций, </t>
  </si>
  <si>
    <t xml:space="preserve">Выручка от реализации продукции, работ, услуг (в действующих ценах) предприятий малого бизнеса (с учетом микропредприятий) </t>
  </si>
  <si>
    <t>Уд. вес выручки предприятий микропредприятий в выручке  в целом по МО</t>
  </si>
  <si>
    <t>Фонд начисленной заработной платы работников сельского хозяйства</t>
  </si>
  <si>
    <t xml:space="preserve">Демография, трудовые ресурсы и уровень жизни населения </t>
  </si>
  <si>
    <t>Численность постоянного населения - всего</t>
  </si>
  <si>
    <t>Уровень регистрируемой безработицы (к трудоспособному населению)</t>
  </si>
  <si>
    <t>Фонд начисленной заработной платы работников бюджетной сферы</t>
  </si>
  <si>
    <t>Прибыль прибыльных предприятий (с учетом предприятий малого бизнеса)</t>
  </si>
  <si>
    <t>Наименование поселения</t>
  </si>
  <si>
    <t>Фонд оплаты труда, млн. руб.</t>
  </si>
  <si>
    <t>Среднесписочная численность работающих, чел.</t>
  </si>
  <si>
    <t>Выручка от реализации товаров (работ, услуг), млн. руб.</t>
  </si>
  <si>
    <t>* В целом по муниципальному району заполняется сумма показателей по городским и сельским поселениям. Значение каждого показателя в целом по району должны соответствовать значению показателя указанному в сводной форме "Прогноза".</t>
  </si>
  <si>
    <t>ИТОГО по району*</t>
  </si>
  <si>
    <t>Индивидуальные предприниматели</t>
  </si>
  <si>
    <t>Малые предприятия</t>
  </si>
  <si>
    <t>Микропредприятия</t>
  </si>
  <si>
    <t>Валовый совокупный доход (сумма ФОТ, выплат соцхарактера, прочих доходов)</t>
  </si>
  <si>
    <t>Земельный налог</t>
  </si>
  <si>
    <t>Налог на имущество физических лиц</t>
  </si>
  <si>
    <t>Единый налог на вмененный доход</t>
  </si>
  <si>
    <t>Налог, взимаемый в связи с применением патентной системы налогообложения</t>
  </si>
  <si>
    <t>1. Налог на доходы физических лиц</t>
  </si>
  <si>
    <t>2. Налоги на имущество:</t>
  </si>
  <si>
    <t>Доходный потенциал (объем налогов, формируемых на территории) - всего:</t>
  </si>
  <si>
    <t>Число безработных граждан, чел.</t>
  </si>
  <si>
    <t>Количество субъектов малого и среднего предпринимательства (ед.):</t>
  </si>
  <si>
    <t>Доходный потенциал территориии</t>
  </si>
  <si>
    <t>3. Налоги со специальным режимом:</t>
  </si>
  <si>
    <t>Потенциал поступлений земельного налога</t>
  </si>
  <si>
    <t>из них по категориям работников:</t>
  </si>
  <si>
    <t xml:space="preserve">Среднемесячная начисленная заработная плата работников бюджетной сферы, финансируемой из консолидированного местного бюджета с учетом "дорожных карт" МО - всего, </t>
  </si>
  <si>
    <t>кадастровая стоимость земельных участков,
 признаваемых объектом налогообложения-всего</t>
  </si>
  <si>
    <t>Общая инвентаризационная стоимость объектов налогообложения</t>
  </si>
  <si>
    <t>Число предприятий, зарегистрированных на территории МО - всего, 
ед.</t>
  </si>
  <si>
    <t>в том числе по видам деятельности:</t>
  </si>
  <si>
    <t>Число муниципальных учреждений, ед.</t>
  </si>
  <si>
    <t xml:space="preserve">Дошкольное образование </t>
  </si>
  <si>
    <t>Основное общее и среднее (полное) общее образование</t>
  </si>
  <si>
    <t>Дополнительное образование детей</t>
  </si>
  <si>
    <t>Деятельность в области спорта</t>
  </si>
  <si>
    <t>Прочая деятельность в области культуры</t>
  </si>
  <si>
    <t>наименование и местоположение предприятия  (по месту регистрации)</t>
  </si>
  <si>
    <t>численность работников, чел.</t>
  </si>
  <si>
    <t>Сельское 
хозяйство</t>
  </si>
  <si>
    <t>Промыш-
ленность</t>
  </si>
  <si>
    <t>Лесо-
заготовки</t>
  </si>
  <si>
    <t>Строи-
тельство</t>
  </si>
  <si>
    <r>
      <t>Основные сведения 
о градообразующем предприятии
(</t>
    </r>
    <r>
      <rPr>
        <b/>
        <sz val="14"/>
        <rFont val="Times New Roman"/>
        <family val="1"/>
        <charset val="204"/>
      </rPr>
      <t>КРИТЕРИИ</t>
    </r>
    <r>
      <rPr>
        <sz val="14"/>
        <rFont val="Times New Roman"/>
        <family val="1"/>
        <charset val="204"/>
      </rPr>
      <t xml:space="preserve"> установлены ст. 169 ФЗ №127 
"О несостоятельности (банкротстве)": численность работников организаций свыше 5 тыс. чел. либо составляет не менее 25% численности работающего населения соответствующего населенного пункта)</t>
    </r>
  </si>
  <si>
    <t>2019 г.</t>
  </si>
  <si>
    <t>Прогноз индекса производства</t>
  </si>
  <si>
    <t xml:space="preserve">Сельское, лесное хозяйство, охота, рыбаловство и рыбоводство, в том числе </t>
  </si>
  <si>
    <t>Растениеводство и животноводство, охота и предоставление соответствующих услуг в этих областях</t>
  </si>
  <si>
    <t>Лесоводство и лесозаготовки</t>
  </si>
  <si>
    <t>Рыболовство и рыбоводство</t>
  </si>
  <si>
    <t>Обеспечение электрической энергией, газом и паром; кондиционирование воздуха</t>
  </si>
  <si>
    <t>Водоснабжение; водоотведение, организация сбора и утилизации отходов, деятельность по ликвидации загрязнений</t>
  </si>
  <si>
    <t xml:space="preserve">Торговля оптовая и розничная; ремонт автотранспортных средств и мотоциклов </t>
  </si>
  <si>
    <t xml:space="preserve">Промышленное производство: </t>
  </si>
  <si>
    <t>Объем отгруженных товаров собственного производства, выполненных работ и услуг (В+C+D+E)</t>
  </si>
  <si>
    <t>Добыча полезных ископаемых (В):</t>
  </si>
  <si>
    <t xml:space="preserve">Объем отгруженных товаров собственного производства, выполненных работ и услуг </t>
  </si>
  <si>
    <t>Обрабатывающие производства (С):</t>
  </si>
  <si>
    <t>Обеспечение электрической энергией, газом и паром; кондиционирование воздуха (D):</t>
  </si>
  <si>
    <t>Объем отгруженных товаров собственного производства, выполненных работ и услуг</t>
  </si>
  <si>
    <t>Водоснабжение; водоотведение, организация сбора и утилизации отходов, деятельность по ликвидации загрязнений  (Е):</t>
  </si>
  <si>
    <t>Сельское, лесное хозяйство, охота, рыбаловство и рыбоводство:</t>
  </si>
  <si>
    <t>Индекс производства продукции в сельхозорганизациях</t>
  </si>
  <si>
    <t>Строительство:</t>
  </si>
  <si>
    <t>Объем работ</t>
  </si>
  <si>
    <t>Транспортировка и хранение:</t>
  </si>
  <si>
    <t>Грузооборот</t>
  </si>
  <si>
    <t>тыс.т/км</t>
  </si>
  <si>
    <t>Пассажирооборот</t>
  </si>
  <si>
    <t>тыс. пас/км</t>
  </si>
  <si>
    <t>Торговля оптовая и розничная; ремонт автотранспортных средств и мотоциклов</t>
  </si>
  <si>
    <t>Число действующих малых предприятий - всего</t>
  </si>
  <si>
    <t>2020 г.</t>
  </si>
  <si>
    <t>Добыча прочих полезных ископаемых</t>
  </si>
  <si>
    <t>Гипс,тыс.т</t>
  </si>
  <si>
    <t xml:space="preserve"> Доломит некальцинированный, тыс.т</t>
  </si>
  <si>
    <t>Пески природные,Тыс. куб.м</t>
  </si>
  <si>
    <t>Гранулы каменные, крошка и порошок,Тыс. куб.м</t>
  </si>
  <si>
    <t>Гравий,Тыс. куб.м</t>
  </si>
  <si>
    <t>Щебень,Тыс. куб.м</t>
  </si>
  <si>
    <t>Камень природный дробленный,Тыс. куб.м</t>
  </si>
  <si>
    <t>Смеси песчано-гравийные,Тыс. куб.м</t>
  </si>
  <si>
    <t>Транспортировка и хранение</t>
  </si>
  <si>
    <t>Деятельность в области информации и связи</t>
  </si>
  <si>
    <t>Деятельность в области спорта, отдыха и развлечений</t>
  </si>
  <si>
    <t>Мясо крупного рогатого скота (говядина и телятина) парное, остывшее или охлажденное, в том числе для детского питания,т</t>
  </si>
  <si>
    <t>Свинина парная, остывшая или охлажденная, в том числе для детского питания,т</t>
  </si>
  <si>
    <t>Конина и мясо прочих животных семейства лошадиных парные, остывшие или охлажденные, в том числе для детского питания,т</t>
  </si>
  <si>
    <t>Субпродукты пищевые крупного рогатого скота, свиные, бараньи, козьи, лошадей, ослов, мулов, лошаков и прочих животных семейства лошадиных, оленьи и прочих животных семейства оленьих (оленевых) парные, остывшие или охлажденные, в том числе для детского пит,т</t>
  </si>
  <si>
    <t>Мясо крупного рогатого скота (говядина и телятина) замороженное, в том числе для детского питания,т</t>
  </si>
  <si>
    <t>Мясо лошадей (конина, жеребятина) и прочих животных семейства лошадиных замороженное, в том числе для детского питания,т</t>
  </si>
  <si>
    <t>Мясо и субпродукты пищевые прочие парные, остывшие, охлажденные или замороженные,т</t>
  </si>
  <si>
    <t>Жиры крупного рогатого скота, овец, коз и свиней,т</t>
  </si>
  <si>
    <t>Мясо птицы охлажденное, в том числе для детского питания,т</t>
  </si>
  <si>
    <t>Мясо сельскохозяйственной птицы замороженное, в том числе для детского питания,т</t>
  </si>
  <si>
    <t>Субпродукты сельскохозяйственной птицы пищевые, в том числе для детского питания,т</t>
  </si>
  <si>
    <t>Свинина соленая, в рассоле, копченая, сушеная (в том числе сублимационной сушки),т</t>
  </si>
  <si>
    <t>Мясо крупного рогатого скота соленое, в рассоле, копченое, сушеное (в том числе сублимационной сушки),т</t>
  </si>
  <si>
    <t>Мясо и мясные пищевые субпродукты прочие, соленые, в рассоле, копченые, сушеные (в том числе сублимационной сушки) (кроме мяса свиней и крупного рогатого скота); мясо птицы сухое, мука тонкого и грубого помола из мяса и мясных субпродуктов, пригодная для,т</t>
  </si>
  <si>
    <t>Изделия колбасные вареные, в том числе фаршированные,т</t>
  </si>
  <si>
    <t>Изделия колбасные кровяные,т</t>
  </si>
  <si>
    <t>Изделия колбасные копченые,т</t>
  </si>
  <si>
    <t>Изделия колбасные из термически обработанных ингредиентов,т</t>
  </si>
  <si>
    <t>Полуфабрикаты мясные, мясосодержащие, охлажденные, замороженные,т</t>
  </si>
  <si>
    <t>Изделия кулинарные мясные, мясосодержащие и из мяса и субпродуктов птицы охлажденные, замороженные,т</t>
  </si>
  <si>
    <t>Мука тонкого и грубого помола и гранулы из мяса или мясных субпродуктов, не пригодные для употребления в пищу,т</t>
  </si>
  <si>
    <t>Рыба и филе рыбное холодного копчения,т</t>
  </si>
  <si>
    <t>Рыба и филе рыбное горячего копчения,т</t>
  </si>
  <si>
    <t>Продукты готовые из рыбы прочие, не включенные в другие группировки,т</t>
  </si>
  <si>
    <t>Овощи (кроме картофеля) и грибы сушеные,т</t>
  </si>
  <si>
    <t>Овощи (кроме картофеля) и грибы, консервированные без уксуса или уксусной кислоты, прочие (кроме готовых овощных блюд),тыс.банок усл.</t>
  </si>
  <si>
    <t>Овощи (кроме картофеля), фрукты, орехи и прочие съедобные части растений, переработанные или консервированные с уксусом или уксусной кислотой,тыс.банок усл.</t>
  </si>
  <si>
    <t>Масло соевое и его фракции нерафинированные,т</t>
  </si>
  <si>
    <t>Масло подсолнечное и его фракции нерафинированные,т</t>
  </si>
  <si>
    <t>Масло рапсовое и его фракции нерафинированные,т</t>
  </si>
  <si>
    <t>Жмых и прочие твердые остатки растительных жиров или масел,т</t>
  </si>
  <si>
    <t>Масло соевое и его фракции рафинированные, но не подвергнутые химической модификации,т</t>
  </si>
  <si>
    <t>Масло подсолнечное и его фракции рафинированные, но не подвергнутые химической модификации,т</t>
  </si>
  <si>
    <t>Жиры и масла животные и растительные и их фракции гидрогенизированные и переэтерифицированные, но без дальнейшей обработки,т</t>
  </si>
  <si>
    <t>Маргарин,т</t>
  </si>
  <si>
    <t>Спреды растительно-сливочные, растительно-жировые,т</t>
  </si>
  <si>
    <t>Смеси топленые растительно-сливочные, растительно-жировые,т</t>
  </si>
  <si>
    <t>Жиры специального назначения,т</t>
  </si>
  <si>
    <t>Молоко, кроме сырого,т</t>
  </si>
  <si>
    <t>Сливки,т</t>
  </si>
  <si>
    <t>Масло сливочное,т</t>
  </si>
  <si>
    <t>Спреды и смеси топленые сливочно-растительные,т</t>
  </si>
  <si>
    <t>Сыры,т</t>
  </si>
  <si>
    <t>Творог,т</t>
  </si>
  <si>
    <t>Молоко и сливки, сгущенные или с добавками сахара или других подслащивающих веществ, не сухие,тыс.банок усл.</t>
  </si>
  <si>
    <t>Продукты кисломолочные (кроме сметаны),т</t>
  </si>
  <si>
    <t>Сметана,т</t>
  </si>
  <si>
    <t>Сыворотка,т</t>
  </si>
  <si>
    <t>Напитки молочные,т</t>
  </si>
  <si>
    <t>Продукты на основе творога,т</t>
  </si>
  <si>
    <t>Мороженое,т</t>
  </si>
  <si>
    <t>Мука пшеничная и пшенично-ржаная,т</t>
  </si>
  <si>
    <t>Мука из прочих зерновых культур,т</t>
  </si>
  <si>
    <t>Крупа, мука грубого помола и гранулы из зерновых культур, не включенные другие группировки,т</t>
  </si>
  <si>
    <t>Изделия хлебобулочные недлительного хранения,т</t>
  </si>
  <si>
    <t>Изделия мучные кондитерские, торты и пирожные недлительного хранения,т</t>
  </si>
  <si>
    <t>Хлебцы хрустящие, сухари, гренки и аналогичные обжаренные продукты,т</t>
  </si>
  <si>
    <t>Печенье и пряники имбирные и аналогичные изделия; печенье сладкое; вафли и вафельные облатки; торты и пирожные длительного хранения,т</t>
  </si>
  <si>
    <t>Изделия хлебобулочные сухие прочие или хлебобулочные изделия длительного хранения,т</t>
  </si>
  <si>
    <t>Изделия макаронные и аналогичные мучные изделия,т</t>
  </si>
  <si>
    <t>Кетчуп и соусы томатные прочие,тыс.банок усл.</t>
  </si>
  <si>
    <t>Майонезы,т</t>
  </si>
  <si>
    <t>Соусы майонезные,т</t>
  </si>
  <si>
    <t>Горчица готовая,т</t>
  </si>
  <si>
    <t>Соль пищевая,т</t>
  </si>
  <si>
    <t>Продукты пищевые готовые и блюда,т</t>
  </si>
  <si>
    <t>Молоко питьевое для детского питания пастеризованное, стерилизованное и ультрапастеризованное (ультравысокотемпературно-обработанное), в том числе обогащенное,т</t>
  </si>
  <si>
    <t>Смеси молочные и продукты в жидкой форме для детей раннего возраста,т</t>
  </si>
  <si>
    <t>Яйца без скорлупы и желтки яичные, свежие или консервированные; яйца в скорлупе консервированные или вареные; белок яичный,т</t>
  </si>
  <si>
    <t>Продукты пищевые из муки, крупы, крахмала (кроме детского питания),т</t>
  </si>
  <si>
    <t>Корма животные сухие,т</t>
  </si>
  <si>
    <t>Комбикорма,т</t>
  </si>
  <si>
    <t>Корма для сельскохозяйственных животных прочие,т</t>
  </si>
  <si>
    <t>Концентраты и смеси кормовые,т</t>
  </si>
  <si>
    <t>Производство напитков</t>
  </si>
  <si>
    <t>Водка,Тысяча декалитров</t>
  </si>
  <si>
    <t>Пиво, кроме отходов пивоварения,Тысяча декалитров</t>
  </si>
  <si>
    <t>Солод,т</t>
  </si>
  <si>
    <t>Воды минеральные природные питьевые,Тысяча полулитров</t>
  </si>
  <si>
    <t>Воды питьевые, в том числе газированные, расфасованные в емкости, не содержащие добавки сахара или других подслащивающих или вкусоароматических веществ,Тысяча полулитров</t>
  </si>
  <si>
    <t>тыс. банок</t>
  </si>
  <si>
    <t>Тыс. декалитров</t>
  </si>
  <si>
    <t>Тысяча полулитров</t>
  </si>
  <si>
    <t>Обеспечение электрической энергией, газом и паром; кондиционирование воздуха (раздел D)</t>
  </si>
  <si>
    <t xml:space="preserve"> Добыча полезных ископаемых (Раздел В)</t>
  </si>
  <si>
    <t xml:space="preserve"> Обрабатывающие производства (Раздел  С)</t>
  </si>
  <si>
    <t>Электроэнергия,Гигаватт-час (миллион киловатт-часов)</t>
  </si>
  <si>
    <t>Энергия тепловая, отпущенная тепловыми электроцентралями (ТЭЦ),Тысяча гигакалорий</t>
  </si>
  <si>
    <t>Энергия тепловая, отпущенная промышленными утилизационными установками,Тысяча гигакалорий</t>
  </si>
  <si>
    <t>Энергия тепловая, отпущенная котельными,Тысяча гигакалорий</t>
  </si>
  <si>
    <t>Тысяча гигакалорий</t>
  </si>
  <si>
    <t>Итого по промышленному производству (сумма разделов  В+C+D)</t>
  </si>
  <si>
    <t>Растениеводство и животноводство</t>
  </si>
  <si>
    <t>Деятельность в области культуры, спорта, организации досуга и развлечений, в том числе:</t>
  </si>
  <si>
    <t>**) индекс производства продукции расчитывается по разделам видов экономической деятельности и в целом по промышленности, лесозаготовкам, с/х</t>
  </si>
  <si>
    <t>Объем отгруженных товаров собственного производства, выполненных работ и услуг собственными силами (В+С+D+E):</t>
  </si>
  <si>
    <t xml:space="preserve">Сельское, лесное хозяйство, охота, рыболовство и рыбоводство, в том числе </t>
  </si>
  <si>
    <t>Индекс промышленного производства (В+C+D+E)</t>
  </si>
  <si>
    <t>2022 год</t>
  </si>
  <si>
    <t>2022 г.</t>
  </si>
  <si>
    <t>2021 г.</t>
  </si>
  <si>
    <t>Факт 
2019 года</t>
  </si>
  <si>
    <t>2023 год</t>
  </si>
  <si>
    <t>Факт 
2019 г.</t>
  </si>
  <si>
    <t>2023 г.</t>
  </si>
  <si>
    <t>Форма прогноза 
до 2024 г.</t>
  </si>
  <si>
    <t>Прогноз предоставляется 
до 30 июля  2021 года</t>
  </si>
  <si>
    <t>Факт 
2020 года</t>
  </si>
  <si>
    <t>Оценка 
2021 года</t>
  </si>
  <si>
    <t>2024 год</t>
  </si>
  <si>
    <t>Факт 
2020 г.</t>
  </si>
  <si>
    <t>2024 г.</t>
  </si>
  <si>
    <t>Оценка 2021 г.</t>
  </si>
  <si>
    <t>Отдельные показатели прогноза развития муниципальных образований поселенческого уровня на 2022-2024 годы*</t>
  </si>
  <si>
    <t xml:space="preserve">Прочие </t>
  </si>
  <si>
    <t>Налог, взимаемый в связи с применением упрощенной системы налогообложения</t>
  </si>
  <si>
    <t>Единый сельскохозяйственный налог</t>
  </si>
  <si>
    <t>Государственное управление</t>
  </si>
  <si>
    <t>1.Байкальское городское поселение</t>
  </si>
  <si>
    <t>2.Слюдянское городское поселение</t>
  </si>
  <si>
    <t>3.Култукское городское поселение</t>
  </si>
  <si>
    <t>4.Портбайкальское сельское поселение</t>
  </si>
  <si>
    <t>5.Утуликское сельское поселение</t>
  </si>
  <si>
    <t>6.Новоснежнинское сельское поселение</t>
  </si>
  <si>
    <t>7.Быстринское сельское поселение</t>
  </si>
  <si>
    <t>8.Маритуйское сельское поселение</t>
  </si>
  <si>
    <t xml:space="preserve">Объем произведенной продукции в сопоставимых ценах </t>
  </si>
  <si>
    <t>2017 г.</t>
  </si>
  <si>
    <t>14 =
итог гр.10/
итог гр.9
* 100</t>
  </si>
  <si>
    <t>15 =
итог гр.11/
итог гр.10
* 100</t>
  </si>
  <si>
    <t>16 =
итог гр.12/
итог гр.11
* 100</t>
  </si>
  <si>
    <t>17 =
итог гр.13/
итог гр.12
* 100</t>
  </si>
  <si>
    <t>18 =
итог гр.14/
итог гр.13
* 100</t>
  </si>
  <si>
    <r>
      <t xml:space="preserve">Гранит, песчаник и прочий камень для памятников или строительства,тыс.т   </t>
    </r>
    <r>
      <rPr>
        <i/>
        <sz val="20"/>
        <rFont val="Times New Roman"/>
        <family val="1"/>
        <charset val="204"/>
      </rPr>
      <t>(цемсырье)</t>
    </r>
  </si>
  <si>
    <t>конс.реальные доходы</t>
  </si>
  <si>
    <t>безраб.21</t>
  </si>
  <si>
    <t>ур.безр.</t>
  </si>
  <si>
    <t>байк</t>
  </si>
  <si>
    <t>слюд</t>
  </si>
  <si>
    <t>култ</t>
  </si>
  <si>
    <t>порт</t>
  </si>
  <si>
    <t>утул</t>
  </si>
  <si>
    <t>н.сн</t>
  </si>
  <si>
    <t>быстр</t>
  </si>
  <si>
    <t>марит</t>
  </si>
  <si>
    <t xml:space="preserve">контроль </t>
  </si>
  <si>
    <t>уменьш на 361</t>
  </si>
  <si>
    <t>разница</t>
  </si>
  <si>
    <t xml:space="preserve">разница </t>
  </si>
  <si>
    <t>реальная зар плата</t>
  </si>
  <si>
    <t>не меняется</t>
  </si>
  <si>
    <t>Прогноз социально-экономического развития Слюдянского муниципального района  на 2022-2024 гг.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</si>
</sst>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-* #,##0.00\ _₽_-;\-* #,##0.00\ _₽_-;_-* &quot;-&quot;??\ _₽_-;_-@_-"/>
    <numFmt numFmtId="164" formatCode="0.0"/>
    <numFmt numFmtId="165" formatCode="0.000"/>
    <numFmt numFmtId="166" formatCode="#,##0.000"/>
    <numFmt numFmtId="167" formatCode="#,##0.0"/>
    <numFmt numFmtId="168" formatCode="#,##0.00_ ;\-#,##0.00\ "/>
    <numFmt numFmtId="169" formatCode="_-* #,##0.0\ _₽_-;\-* #,##0.0\ _₽_-;_-* &quot;-&quot;??\ _₽_-;_-@_-"/>
  </numFmts>
  <fonts count="48" x14ac:knownFonts="1">
    <font>
      <sz val="10"/>
      <name val="Arial Cyr"/>
      <charset val="204"/>
    </font>
    <font>
      <sz val="14"/>
      <name val="Arial Cyr"/>
      <charset val="204"/>
    </font>
    <font>
      <b/>
      <sz val="14"/>
      <name val="Arial Cyr"/>
      <family val="2"/>
      <charset val="204"/>
    </font>
    <font>
      <b/>
      <sz val="14"/>
      <name val="Times New Roman"/>
      <family val="1"/>
      <charset val="204"/>
    </font>
    <font>
      <b/>
      <sz val="14"/>
      <name val="Times New Roman"/>
      <family val="1"/>
    </font>
    <font>
      <sz val="14"/>
      <name val="Times New Roman"/>
      <family val="1"/>
    </font>
    <font>
      <b/>
      <i/>
      <sz val="14"/>
      <name val="Times New Roman"/>
      <family val="1"/>
    </font>
    <font>
      <i/>
      <sz val="14"/>
      <name val="Times New Roman"/>
      <family val="1"/>
      <charset val="204"/>
    </font>
    <font>
      <b/>
      <u/>
      <sz val="14"/>
      <name val="Times New Roman"/>
      <family val="1"/>
    </font>
    <font>
      <u/>
      <sz val="14"/>
      <name val="Times New Roman"/>
      <family val="1"/>
    </font>
    <font>
      <i/>
      <sz val="14"/>
      <name val="Times New Roman"/>
      <family val="1"/>
    </font>
    <font>
      <sz val="14"/>
      <name val="Times New Roman"/>
      <family val="1"/>
      <charset val="204"/>
    </font>
    <font>
      <b/>
      <sz val="16"/>
      <name val="Times New Roman"/>
      <family val="1"/>
      <charset val="204"/>
    </font>
    <font>
      <sz val="12"/>
      <name val="Times New Roman"/>
      <family val="1"/>
    </font>
    <font>
      <sz val="8"/>
      <name val="Arial Cyr"/>
      <charset val="204"/>
    </font>
    <font>
      <b/>
      <sz val="12"/>
      <name val="Times New Roman"/>
      <family val="1"/>
    </font>
    <font>
      <sz val="10"/>
      <name val="Times New Roman"/>
      <family val="1"/>
      <charset val="204"/>
    </font>
    <font>
      <b/>
      <sz val="22"/>
      <name val="Arial Cyr"/>
      <family val="2"/>
      <charset val="204"/>
    </font>
    <font>
      <b/>
      <sz val="16"/>
      <name val="Arial Cyr"/>
      <family val="2"/>
      <charset val="204"/>
    </font>
    <font>
      <sz val="20"/>
      <name val="Times New Roman"/>
      <family val="1"/>
      <charset val="204"/>
    </font>
    <font>
      <b/>
      <sz val="22"/>
      <name val="Times New Roman"/>
      <family val="1"/>
      <charset val="204"/>
    </font>
    <font>
      <b/>
      <sz val="20"/>
      <name val="Times New Roman"/>
      <family val="1"/>
      <charset val="204"/>
    </font>
    <font>
      <sz val="20"/>
      <name val="Arial Cyr"/>
      <charset val="204"/>
    </font>
    <font>
      <sz val="16"/>
      <name val="Times New Roman"/>
      <family val="1"/>
      <charset val="204"/>
    </font>
    <font>
      <sz val="16"/>
      <name val="Arial Cyr"/>
      <charset val="204"/>
    </font>
    <font>
      <b/>
      <u/>
      <sz val="14"/>
      <name val="Times New Roman"/>
      <family val="1"/>
      <charset val="204"/>
    </font>
    <font>
      <b/>
      <sz val="16"/>
      <name val="Times New Roman"/>
      <family val="1"/>
    </font>
    <font>
      <b/>
      <i/>
      <sz val="12"/>
      <name val="Times New Roman"/>
      <family val="1"/>
    </font>
    <font>
      <b/>
      <i/>
      <sz val="12"/>
      <name val="Times New Roman"/>
      <family val="1"/>
      <charset val="204"/>
    </font>
    <font>
      <b/>
      <sz val="14"/>
      <name val="Arial Cyr"/>
      <charset val="204"/>
    </font>
    <font>
      <i/>
      <sz val="12"/>
      <name val="Times New Roman"/>
      <family val="1"/>
      <charset val="204"/>
    </font>
    <font>
      <b/>
      <sz val="20"/>
      <name val="Times New Roman"/>
      <family val="1"/>
    </font>
    <font>
      <sz val="12"/>
      <name val="Times New Roman"/>
      <family val="1"/>
      <charset val="204"/>
    </font>
    <font>
      <b/>
      <i/>
      <sz val="14"/>
      <name val="Times New Roman"/>
      <family val="1"/>
      <charset val="204"/>
    </font>
    <font>
      <b/>
      <sz val="10"/>
      <name val="Times New Roman CYR"/>
      <charset val="204"/>
    </font>
    <font>
      <sz val="10"/>
      <name val="Arial Cyr"/>
      <charset val="204"/>
    </font>
    <font>
      <b/>
      <sz val="9"/>
      <color indexed="81"/>
      <name val="Tahoma"/>
      <family val="2"/>
      <charset val="204"/>
    </font>
    <font>
      <sz val="9"/>
      <color indexed="81"/>
      <name val="Tahoma"/>
      <family val="2"/>
      <charset val="204"/>
    </font>
    <font>
      <b/>
      <sz val="14"/>
      <color indexed="81"/>
      <name val="Tahoma"/>
      <family val="2"/>
      <charset val="204"/>
    </font>
    <font>
      <sz val="14"/>
      <color indexed="81"/>
      <name val="Tahoma"/>
      <family val="2"/>
      <charset val="204"/>
    </font>
    <font>
      <sz val="12"/>
      <color indexed="81"/>
      <name val="Tahoma"/>
      <family val="2"/>
      <charset val="204"/>
    </font>
    <font>
      <i/>
      <sz val="20"/>
      <name val="Times New Roman"/>
      <family val="1"/>
      <charset val="204"/>
    </font>
    <font>
      <b/>
      <sz val="20"/>
      <name val="Arial Cyr"/>
      <charset val="204"/>
    </font>
    <font>
      <b/>
      <sz val="10"/>
      <name val="Arial Cyr"/>
      <charset val="204"/>
    </font>
    <font>
      <sz val="12"/>
      <name val="Arial Cyr"/>
      <charset val="204"/>
    </font>
    <font>
      <sz val="14"/>
      <name val="Times"/>
      <family val="1"/>
    </font>
    <font>
      <sz val="11"/>
      <name val="Times New Roman"/>
      <family val="1"/>
      <charset val="204"/>
    </font>
    <font>
      <sz val="11"/>
      <name val="Arial Cyr"/>
      <charset val="204"/>
    </font>
  </fonts>
  <fills count="10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FFF00"/>
        <bgColor indexed="64"/>
      </patternFill>
    </fill>
  </fills>
  <borders count="4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23"/>
      </top>
      <bottom style="dashed">
        <color indexed="23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23"/>
      </top>
      <bottom/>
      <diagonal/>
    </border>
    <border>
      <left style="thin">
        <color indexed="64"/>
      </left>
      <right style="thin">
        <color indexed="64"/>
      </right>
      <top/>
      <bottom style="dashed">
        <color indexed="23"/>
      </bottom>
      <diagonal/>
    </border>
    <border>
      <left style="thin">
        <color indexed="64"/>
      </left>
      <right/>
      <top style="dashed">
        <color indexed="23"/>
      </top>
      <bottom style="dashed">
        <color indexed="23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55"/>
      </top>
      <bottom style="dashed">
        <color indexed="23"/>
      </bottom>
      <diagonal/>
    </border>
    <border>
      <left style="thin">
        <color indexed="64"/>
      </left>
      <right style="thin">
        <color indexed="64"/>
      </right>
      <top style="dashed">
        <color indexed="23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ashed">
        <color indexed="23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dashed">
        <color indexed="23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ashed">
        <color indexed="23"/>
      </top>
      <bottom style="dashed">
        <color indexed="23"/>
      </bottom>
      <diagonal/>
    </border>
  </borders>
  <cellStyleXfs count="2">
    <xf numFmtId="0" fontId="0" fillId="0" borderId="0"/>
    <xf numFmtId="43" fontId="35" fillId="0" borderId="0" applyFont="0" applyFill="0" applyBorder="0" applyAlignment="0" applyProtection="0"/>
  </cellStyleXfs>
  <cellXfs count="366">
    <xf numFmtId="0" fontId="0" fillId="0" borderId="0" xfId="0"/>
    <xf numFmtId="0" fontId="1" fillId="0" borderId="0" xfId="0" applyFont="1" applyAlignment="1">
      <alignment horizontal="left" vertical="center" wrapText="1"/>
    </xf>
    <xf numFmtId="0" fontId="2" fillId="0" borderId="0" xfId="0" applyFont="1" applyAlignment="1">
      <alignment horizontal="right" vertical="center" wrapText="1"/>
    </xf>
    <xf numFmtId="0" fontId="13" fillId="0" borderId="0" xfId="0" applyFont="1"/>
    <xf numFmtId="0" fontId="19" fillId="0" borderId="2" xfId="0" applyFont="1" applyBorder="1" applyAlignment="1">
      <alignment horizontal="center"/>
    </xf>
    <xf numFmtId="0" fontId="22" fillId="0" borderId="2" xfId="0" applyFont="1" applyBorder="1"/>
    <xf numFmtId="0" fontId="21" fillId="0" borderId="3" xfId="0" applyFont="1" applyBorder="1" applyAlignment="1">
      <alignment wrapText="1"/>
    </xf>
    <xf numFmtId="0" fontId="19" fillId="0" borderId="3" xfId="0" applyFont="1" applyBorder="1" applyAlignment="1">
      <alignment horizontal="center"/>
    </xf>
    <xf numFmtId="0" fontId="19" fillId="0" borderId="3" xfId="0" applyFont="1" applyBorder="1" applyAlignment="1">
      <alignment horizontal="center" wrapText="1"/>
    </xf>
    <xf numFmtId="0" fontId="22" fillId="0" borderId="3" xfId="0" applyFont="1" applyBorder="1"/>
    <xf numFmtId="0" fontId="19" fillId="0" borderId="3" xfId="0" applyFont="1" applyBorder="1" applyAlignment="1">
      <alignment wrapText="1"/>
    </xf>
    <xf numFmtId="0" fontId="19" fillId="0" borderId="3" xfId="0" applyFont="1" applyBorder="1" applyAlignment="1">
      <alignment horizontal="center" vertical="center" wrapText="1"/>
    </xf>
    <xf numFmtId="0" fontId="19" fillId="0" borderId="4" xfId="0" applyFont="1" applyBorder="1" applyAlignment="1">
      <alignment wrapText="1"/>
    </xf>
    <xf numFmtId="0" fontId="19" fillId="0" borderId="4" xfId="0" applyFont="1" applyBorder="1" applyAlignment="1">
      <alignment horizontal="center"/>
    </xf>
    <xf numFmtId="0" fontId="22" fillId="0" borderId="4" xfId="0" applyFont="1" applyBorder="1"/>
    <xf numFmtId="0" fontId="19" fillId="0" borderId="3" xfId="0" applyFont="1" applyFill="1" applyBorder="1" applyAlignment="1">
      <alignment horizontal="center"/>
    </xf>
    <xf numFmtId="0" fontId="19" fillId="0" borderId="5" xfId="0" applyFont="1" applyBorder="1" applyAlignment="1">
      <alignment horizontal="center"/>
    </xf>
    <xf numFmtId="0" fontId="22" fillId="0" borderId="5" xfId="0" applyFont="1" applyBorder="1"/>
    <xf numFmtId="0" fontId="19" fillId="0" borderId="2" xfId="0" applyFont="1" applyBorder="1" applyAlignment="1">
      <alignment vertical="center" wrapText="1"/>
    </xf>
    <xf numFmtId="0" fontId="19" fillId="0" borderId="2" xfId="0" applyFont="1" applyBorder="1"/>
    <xf numFmtId="0" fontId="19" fillId="0" borderId="3" xfId="0" applyFont="1" applyBorder="1" applyAlignment="1">
      <alignment vertical="center" wrapText="1"/>
    </xf>
    <xf numFmtId="0" fontId="19" fillId="0" borderId="3" xfId="0" applyFont="1" applyBorder="1"/>
    <xf numFmtId="0" fontId="23" fillId="0" borderId="0" xfId="0" applyFont="1"/>
    <xf numFmtId="0" fontId="24" fillId="0" borderId="0" xfId="0" applyFont="1"/>
    <xf numFmtId="0" fontId="16" fillId="0" borderId="0" xfId="0" applyFont="1"/>
    <xf numFmtId="0" fontId="19" fillId="0" borderId="0" xfId="0" applyFont="1" applyBorder="1" applyAlignment="1">
      <alignment horizontal="center"/>
    </xf>
    <xf numFmtId="0" fontId="22" fillId="0" borderId="0" xfId="0" applyFont="1" applyBorder="1"/>
    <xf numFmtId="0" fontId="23" fillId="0" borderId="0" xfId="0" applyFont="1" applyFill="1"/>
    <xf numFmtId="0" fontId="22" fillId="2" borderId="2" xfId="0" applyFont="1" applyFill="1" applyBorder="1"/>
    <xf numFmtId="0" fontId="22" fillId="2" borderId="3" xfId="0" applyFont="1" applyFill="1" applyBorder="1"/>
    <xf numFmtId="0" fontId="22" fillId="2" borderId="4" xfId="0" applyFont="1" applyFill="1" applyBorder="1"/>
    <xf numFmtId="0" fontId="19" fillId="2" borderId="2" xfId="0" applyFont="1" applyFill="1" applyBorder="1"/>
    <xf numFmtId="0" fontId="19" fillId="2" borderId="3" xfId="0" applyFont="1" applyFill="1" applyBorder="1"/>
    <xf numFmtId="0" fontId="21" fillId="0" borderId="6" xfId="0" applyFont="1" applyBorder="1" applyAlignment="1">
      <alignment wrapText="1"/>
    </xf>
    <xf numFmtId="0" fontId="20" fillId="0" borderId="5" xfId="0" applyFont="1" applyBorder="1" applyAlignment="1">
      <alignment wrapText="1"/>
    </xf>
    <xf numFmtId="0" fontId="20" fillId="0" borderId="5" xfId="0" applyFont="1" applyBorder="1" applyAlignment="1">
      <alignment vertical="center" wrapText="1"/>
    </xf>
    <xf numFmtId="0" fontId="20" fillId="0" borderId="7" xfId="0" applyFont="1" applyBorder="1" applyAlignment="1">
      <alignment wrapText="1"/>
    </xf>
    <xf numFmtId="0" fontId="19" fillId="0" borderId="8" xfId="0" applyFont="1" applyBorder="1"/>
    <xf numFmtId="0" fontId="19" fillId="0" borderId="9" xfId="0" applyFont="1" applyBorder="1"/>
    <xf numFmtId="0" fontId="22" fillId="0" borderId="9" xfId="0" applyFont="1" applyBorder="1"/>
    <xf numFmtId="0" fontId="19" fillId="0" borderId="3" xfId="0" applyFont="1" applyFill="1" applyBorder="1" applyAlignment="1">
      <alignment vertical="center" wrapText="1"/>
    </xf>
    <xf numFmtId="0" fontId="26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1" fillId="0" borderId="0" xfId="0" applyFont="1"/>
    <xf numFmtId="0" fontId="12" fillId="0" borderId="0" xfId="0" applyFont="1" applyAlignment="1">
      <alignment horizontal="center" vertical="center" wrapText="1"/>
    </xf>
    <xf numFmtId="0" fontId="0" fillId="0" borderId="0" xfId="0" applyFill="1"/>
    <xf numFmtId="0" fontId="15" fillId="0" borderId="0" xfId="0" applyFont="1" applyFill="1" applyAlignment="1">
      <alignment horizontal="right" vertical="center" wrapText="1"/>
    </xf>
    <xf numFmtId="0" fontId="6" fillId="0" borderId="1" xfId="0" applyFont="1" applyBorder="1" applyAlignment="1">
      <alignment horizontal="left" vertical="center" wrapText="1"/>
    </xf>
    <xf numFmtId="0" fontId="0" fillId="0" borderId="0" xfId="0" applyFill="1" applyAlignment="1">
      <alignment vertical="center"/>
    </xf>
    <xf numFmtId="0" fontId="19" fillId="0" borderId="2" xfId="0" applyFont="1" applyBorder="1" applyAlignment="1">
      <alignment horizontal="center" vertical="center"/>
    </xf>
    <xf numFmtId="0" fontId="19" fillId="0" borderId="3" xfId="0" applyFont="1" applyBorder="1" applyAlignment="1">
      <alignment horizontal="center" vertical="center"/>
    </xf>
    <xf numFmtId="0" fontId="19" fillId="0" borderId="4" xfId="0" applyFont="1" applyBorder="1" applyAlignment="1">
      <alignment horizontal="center" vertical="center"/>
    </xf>
    <xf numFmtId="0" fontId="19" fillId="0" borderId="15" xfId="0" applyFont="1" applyBorder="1" applyAlignment="1">
      <alignment horizontal="center" vertical="center"/>
    </xf>
    <xf numFmtId="0" fontId="19" fillId="0" borderId="5" xfId="0" applyFont="1" applyBorder="1" applyAlignment="1">
      <alignment horizontal="center" vertical="center"/>
    </xf>
    <xf numFmtId="0" fontId="19" fillId="0" borderId="0" xfId="0" applyFont="1" applyBorder="1" applyAlignment="1">
      <alignment horizontal="center" vertical="center"/>
    </xf>
    <xf numFmtId="0" fontId="19" fillId="0" borderId="9" xfId="0" applyFont="1" applyBorder="1" applyAlignment="1">
      <alignment vertical="center"/>
    </xf>
    <xf numFmtId="0" fontId="23" fillId="0" borderId="0" xfId="0" applyFont="1" applyAlignment="1">
      <alignment vertical="center"/>
    </xf>
    <xf numFmtId="0" fontId="16" fillId="0" borderId="0" xfId="0" applyFont="1" applyAlignment="1">
      <alignment vertical="center"/>
    </xf>
    <xf numFmtId="0" fontId="0" fillId="0" borderId="0" xfId="0" applyAlignment="1">
      <alignment vertical="center"/>
    </xf>
    <xf numFmtId="0" fontId="19" fillId="0" borderId="2" xfId="0" applyFont="1" applyFill="1" applyBorder="1" applyAlignment="1">
      <alignment horizontal="center" vertical="center" wrapText="1"/>
    </xf>
    <xf numFmtId="0" fontId="19" fillId="0" borderId="3" xfId="0" applyFont="1" applyFill="1" applyBorder="1" applyAlignment="1">
      <alignment horizontal="center" vertical="center" wrapText="1"/>
    </xf>
    <xf numFmtId="0" fontId="19" fillId="0" borderId="4" xfId="0" applyFont="1" applyFill="1" applyBorder="1" applyAlignment="1">
      <alignment horizontal="center" vertical="center" wrapText="1"/>
    </xf>
    <xf numFmtId="0" fontId="19" fillId="0" borderId="5" xfId="0" applyFont="1" applyFill="1" applyBorder="1" applyAlignment="1">
      <alignment horizontal="center" vertical="center" wrapText="1"/>
    </xf>
    <xf numFmtId="0" fontId="19" fillId="0" borderId="0" xfId="0" applyFont="1" applyFill="1" applyBorder="1" applyAlignment="1">
      <alignment horizontal="center" vertical="center" wrapText="1"/>
    </xf>
    <xf numFmtId="0" fontId="19" fillId="0" borderId="9" xfId="0" applyFont="1" applyFill="1" applyBorder="1" applyAlignment="1">
      <alignment vertical="center"/>
    </xf>
    <xf numFmtId="0" fontId="23" fillId="0" borderId="0" xfId="0" applyFont="1" applyFill="1" applyAlignment="1">
      <alignment vertical="center"/>
    </xf>
    <xf numFmtId="0" fontId="16" fillId="0" borderId="0" xfId="0" applyFont="1" applyFill="1" applyAlignment="1">
      <alignment vertical="center"/>
    </xf>
    <xf numFmtId="0" fontId="5" fillId="0" borderId="1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1" fillId="0" borderId="10" xfId="0" applyFont="1" applyBorder="1" applyAlignment="1">
      <alignment horizontal="left" vertical="center" wrapText="1"/>
    </xf>
    <xf numFmtId="164" fontId="1" fillId="0" borderId="10" xfId="0" applyNumberFormat="1" applyFont="1" applyBorder="1" applyAlignment="1">
      <alignment horizontal="left" vertical="center" wrapText="1"/>
    </xf>
    <xf numFmtId="0" fontId="4" fillId="0" borderId="10" xfId="0" applyFont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left" vertical="center" wrapText="1"/>
    </xf>
    <xf numFmtId="0" fontId="9" fillId="0" borderId="10" xfId="0" applyFont="1" applyBorder="1" applyAlignment="1">
      <alignment horizontal="center" vertical="center"/>
    </xf>
    <xf numFmtId="164" fontId="1" fillId="0" borderId="10" xfId="0" applyNumberFormat="1" applyFont="1" applyFill="1" applyBorder="1" applyAlignment="1">
      <alignment horizontal="left" vertical="center" wrapText="1"/>
    </xf>
    <xf numFmtId="0" fontId="5" fillId="0" borderId="16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/>
    </xf>
    <xf numFmtId="0" fontId="1" fillId="0" borderId="17" xfId="0" applyFont="1" applyBorder="1" applyAlignment="1">
      <alignment horizontal="left" vertical="center" wrapText="1"/>
    </xf>
    <xf numFmtId="164" fontId="1" fillId="0" borderId="17" xfId="0" applyNumberFormat="1" applyFont="1" applyBorder="1" applyAlignment="1">
      <alignment horizontal="left" vertical="center" wrapText="1"/>
    </xf>
    <xf numFmtId="0" fontId="6" fillId="0" borderId="10" xfId="0" applyFont="1" applyBorder="1" applyAlignment="1">
      <alignment horizontal="left" vertical="center" wrapText="1"/>
    </xf>
    <xf numFmtId="0" fontId="5" fillId="0" borderId="10" xfId="0" applyFont="1" applyFill="1" applyBorder="1" applyAlignment="1">
      <alignment horizontal="left" vertical="center" wrapText="1"/>
    </xf>
    <xf numFmtId="0" fontId="5" fillId="0" borderId="10" xfId="0" applyFont="1" applyBorder="1" applyAlignment="1">
      <alignment horizontal="left" vertical="center" wrapText="1"/>
    </xf>
    <xf numFmtId="0" fontId="5" fillId="0" borderId="10" xfId="0" applyFont="1" applyBorder="1" applyAlignment="1">
      <alignment horizontal="left" vertical="center"/>
    </xf>
    <xf numFmtId="0" fontId="6" fillId="0" borderId="10" xfId="0" applyFont="1" applyFill="1" applyBorder="1" applyAlignment="1">
      <alignment horizontal="left" vertical="center" wrapText="1"/>
    </xf>
    <xf numFmtId="0" fontId="25" fillId="0" borderId="10" xfId="0" applyFont="1" applyBorder="1" applyAlignment="1">
      <alignment horizontal="left" vertical="center" wrapText="1"/>
    </xf>
    <xf numFmtId="0" fontId="7" fillId="0" borderId="10" xfId="0" applyFont="1" applyFill="1" applyBorder="1" applyAlignment="1">
      <alignment horizontal="left" vertical="center" wrapText="1"/>
    </xf>
    <xf numFmtId="0" fontId="11" fillId="0" borderId="10" xfId="0" applyFont="1" applyFill="1" applyBorder="1" applyAlignment="1">
      <alignment horizontal="left" vertical="center" wrapText="1"/>
    </xf>
    <xf numFmtId="49" fontId="10" fillId="0" borderId="10" xfId="0" applyNumberFormat="1" applyFont="1" applyFill="1" applyBorder="1" applyAlignment="1">
      <alignment horizontal="left" vertical="center" wrapText="1"/>
    </xf>
    <xf numFmtId="0" fontId="8" fillId="0" borderId="10" xfId="0" applyFont="1" applyFill="1" applyBorder="1" applyAlignment="1">
      <alignment horizontal="left" vertical="center" wrapText="1"/>
    </xf>
    <xf numFmtId="0" fontId="1" fillId="0" borderId="18" xfId="0" applyFont="1" applyBorder="1" applyAlignment="1">
      <alignment horizontal="left" vertical="center" wrapText="1"/>
    </xf>
    <xf numFmtId="0" fontId="10" fillId="0" borderId="10" xfId="0" applyFont="1" applyFill="1" applyBorder="1" applyAlignment="1">
      <alignment horizontal="left" vertical="center" wrapText="1"/>
    </xf>
    <xf numFmtId="0" fontId="8" fillId="0" borderId="10" xfId="0" applyFont="1" applyBorder="1" applyAlignment="1">
      <alignment horizontal="left" vertical="center" wrapText="1"/>
    </xf>
    <xf numFmtId="0" fontId="10" fillId="0" borderId="10" xfId="0" applyFont="1" applyBorder="1" applyAlignment="1">
      <alignment horizontal="left" vertical="center" wrapText="1"/>
    </xf>
    <xf numFmtId="0" fontId="5" fillId="0" borderId="10" xfId="0" applyFont="1" applyFill="1" applyBorder="1" applyAlignment="1">
      <alignment horizontal="left" wrapText="1"/>
    </xf>
    <xf numFmtId="0" fontId="5" fillId="0" borderId="10" xfId="0" applyFont="1" applyBorder="1" applyAlignment="1">
      <alignment horizontal="left"/>
    </xf>
    <xf numFmtId="0" fontId="5" fillId="0" borderId="10" xfId="0" applyFont="1" applyBorder="1" applyAlignment="1">
      <alignment horizontal="left" wrapText="1"/>
    </xf>
    <xf numFmtId="0" fontId="7" fillId="0" borderId="10" xfId="0" applyFont="1" applyBorder="1" applyAlignment="1">
      <alignment horizontal="left" wrapText="1"/>
    </xf>
    <xf numFmtId="0" fontId="7" fillId="0" borderId="10" xfId="0" applyFont="1" applyBorder="1" applyAlignment="1">
      <alignment horizontal="right" wrapText="1"/>
    </xf>
    <xf numFmtId="0" fontId="7" fillId="0" borderId="10" xfId="0" applyFont="1" applyFill="1" applyBorder="1" applyAlignment="1">
      <alignment horizontal="left" wrapText="1"/>
    </xf>
    <xf numFmtId="0" fontId="5" fillId="0" borderId="10" xfId="0" applyFont="1" applyFill="1" applyBorder="1" applyAlignment="1">
      <alignment horizontal="justify" wrapText="1"/>
    </xf>
    <xf numFmtId="0" fontId="5" fillId="0" borderId="10" xfId="0" applyFont="1" applyFill="1" applyBorder="1" applyAlignment="1">
      <alignment horizontal="justify" vertical="center" wrapText="1"/>
    </xf>
    <xf numFmtId="0" fontId="5" fillId="0" borderId="10" xfId="0" applyFont="1" applyBorder="1" applyAlignment="1">
      <alignment horizontal="justify"/>
    </xf>
    <xf numFmtId="0" fontId="5" fillId="0" borderId="10" xfId="0" applyFont="1" applyBorder="1" applyAlignment="1">
      <alignment horizontal="justify" vertical="center" wrapText="1"/>
    </xf>
    <xf numFmtId="0" fontId="6" fillId="0" borderId="17" xfId="0" applyFont="1" applyBorder="1" applyAlignment="1">
      <alignment horizontal="left" vertical="center" wrapText="1"/>
    </xf>
    <xf numFmtId="0" fontId="6" fillId="0" borderId="16" xfId="0" applyFont="1" applyFill="1" applyBorder="1" applyAlignment="1">
      <alignment horizontal="left" vertical="center" wrapText="1"/>
    </xf>
    <xf numFmtId="0" fontId="25" fillId="0" borderId="17" xfId="0" applyFont="1" applyBorder="1" applyAlignment="1">
      <alignment horizontal="left" vertical="center" wrapText="1"/>
    </xf>
    <xf numFmtId="0" fontId="6" fillId="0" borderId="16" xfId="0" applyFont="1" applyBorder="1" applyAlignment="1">
      <alignment horizontal="left" vertical="center" wrapText="1"/>
    </xf>
    <xf numFmtId="0" fontId="7" fillId="0" borderId="17" xfId="0" applyFont="1" applyBorder="1" applyAlignment="1">
      <alignment horizontal="right" vertical="center" wrapText="1"/>
    </xf>
    <xf numFmtId="0" fontId="19" fillId="0" borderId="19" xfId="0" applyFont="1" applyBorder="1" applyAlignment="1">
      <alignment horizontal="center" vertical="center"/>
    </xf>
    <xf numFmtId="0" fontId="19" fillId="0" borderId="19" xfId="0" applyFont="1" applyBorder="1" applyAlignment="1">
      <alignment horizontal="center"/>
    </xf>
    <xf numFmtId="0" fontId="19" fillId="0" borderId="19" xfId="0" applyFont="1" applyFill="1" applyBorder="1" applyAlignment="1">
      <alignment horizontal="center" vertical="center" wrapText="1"/>
    </xf>
    <xf numFmtId="0" fontId="22" fillId="0" borderId="19" xfId="0" applyFont="1" applyBorder="1"/>
    <xf numFmtId="0" fontId="22" fillId="2" borderId="19" xfId="0" applyFont="1" applyFill="1" applyBorder="1"/>
    <xf numFmtId="0" fontId="21" fillId="0" borderId="19" xfId="0" applyFont="1" applyBorder="1" applyAlignment="1">
      <alignment wrapText="1"/>
    </xf>
    <xf numFmtId="0" fontId="33" fillId="0" borderId="10" xfId="0" applyFont="1" applyFill="1" applyBorder="1" applyAlignment="1">
      <alignment horizontal="left" vertical="center" wrapText="1"/>
    </xf>
    <xf numFmtId="0" fontId="33" fillId="0" borderId="10" xfId="0" applyFont="1" applyBorder="1" applyAlignment="1">
      <alignment horizontal="left" vertical="center" wrapText="1"/>
    </xf>
    <xf numFmtId="0" fontId="6" fillId="0" borderId="10" xfId="0" applyFont="1" applyBorder="1" applyAlignment="1">
      <alignment vertical="center" wrapText="1"/>
    </xf>
    <xf numFmtId="0" fontId="7" fillId="0" borderId="10" xfId="0" applyFont="1" applyBorder="1" applyAlignment="1">
      <alignment vertical="center" wrapText="1"/>
    </xf>
    <xf numFmtId="0" fontId="19" fillId="0" borderId="5" xfId="0" applyFont="1" applyFill="1" applyBorder="1" applyAlignment="1">
      <alignment horizontal="center"/>
    </xf>
    <xf numFmtId="0" fontId="12" fillId="0" borderId="0" xfId="0" applyFont="1" applyFill="1" applyAlignment="1">
      <alignment horizontal="center" vertical="center" wrapText="1"/>
    </xf>
    <xf numFmtId="0" fontId="11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1" xfId="0" applyBorder="1"/>
    <xf numFmtId="0" fontId="34" fillId="0" borderId="0" xfId="0" applyFont="1" applyFill="1" applyBorder="1" applyAlignment="1">
      <alignment horizontal="center" vertical="center"/>
    </xf>
    <xf numFmtId="0" fontId="0" fillId="0" borderId="0" xfId="0" applyBorder="1"/>
    <xf numFmtId="0" fontId="12" fillId="0" borderId="0" xfId="0" applyFont="1" applyAlignment="1">
      <alignment vertical="center" wrapText="1"/>
    </xf>
    <xf numFmtId="49" fontId="25" fillId="0" borderId="10" xfId="0" applyNumberFormat="1" applyFont="1" applyFill="1" applyBorder="1" applyAlignment="1">
      <alignment horizontal="left" vertical="center" wrapText="1"/>
    </xf>
    <xf numFmtId="0" fontId="5" fillId="0" borderId="11" xfId="0" applyFont="1" applyBorder="1" applyAlignment="1">
      <alignment horizontal="left" vertical="center" wrapText="1"/>
    </xf>
    <xf numFmtId="0" fontId="5" fillId="0" borderId="11" xfId="0" applyFont="1" applyBorder="1" applyAlignment="1">
      <alignment horizontal="left"/>
    </xf>
    <xf numFmtId="0" fontId="19" fillId="0" borderId="2" xfId="0" applyFont="1" applyBorder="1" applyAlignment="1">
      <alignment wrapText="1"/>
    </xf>
    <xf numFmtId="0" fontId="21" fillId="0" borderId="4" xfId="0" applyFont="1" applyBorder="1" applyAlignment="1">
      <alignment wrapText="1"/>
    </xf>
    <xf numFmtId="0" fontId="23" fillId="3" borderId="13" xfId="0" applyFont="1" applyFill="1" applyBorder="1" applyAlignment="1">
      <alignment horizontal="center" vertical="center"/>
    </xf>
    <xf numFmtId="0" fontId="23" fillId="3" borderId="1" xfId="0" applyFont="1" applyFill="1" applyBorder="1" applyAlignment="1">
      <alignment horizontal="center" vertical="center" wrapText="1"/>
    </xf>
    <xf numFmtId="0" fontId="23" fillId="3" borderId="14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3" borderId="23" xfId="0" applyFont="1" applyFill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 wrapText="1"/>
    </xf>
    <xf numFmtId="0" fontId="10" fillId="5" borderId="10" xfId="0" applyFont="1" applyFill="1" applyBorder="1" applyAlignment="1">
      <alignment horizontal="left" vertical="center" wrapText="1"/>
    </xf>
    <xf numFmtId="0" fontId="6" fillId="0" borderId="16" xfId="0" applyFont="1" applyBorder="1" applyAlignment="1">
      <alignment horizontal="justify" vertical="center" wrapText="1"/>
    </xf>
    <xf numFmtId="0" fontId="11" fillId="3" borderId="1" xfId="0" applyFont="1" applyFill="1" applyBorder="1" applyAlignment="1">
      <alignment horizontal="center" vertical="center" wrapText="1"/>
    </xf>
    <xf numFmtId="0" fontId="21" fillId="0" borderId="0" xfId="0" applyFont="1" applyBorder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12" fillId="0" borderId="0" xfId="0" applyFont="1" applyFill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5" fillId="0" borderId="0" xfId="0" applyFont="1" applyAlignment="1">
      <alignment horizontal="right" vertical="center" wrapText="1"/>
    </xf>
    <xf numFmtId="0" fontId="17" fillId="0" borderId="0" xfId="0" applyFont="1" applyFill="1" applyAlignment="1">
      <alignment horizontal="center" vertical="center" wrapText="1"/>
    </xf>
    <xf numFmtId="0" fontId="18" fillId="0" borderId="0" xfId="0" applyFont="1" applyFill="1" applyAlignment="1">
      <alignment horizontal="center" vertical="center" wrapText="1"/>
    </xf>
    <xf numFmtId="0" fontId="19" fillId="3" borderId="1" xfId="0" applyFont="1" applyFill="1" applyBorder="1" applyAlignment="1">
      <alignment horizontal="center" vertical="center" wrapText="1"/>
    </xf>
    <xf numFmtId="0" fontId="11" fillId="0" borderId="0" xfId="0" applyFont="1" applyAlignment="1">
      <alignment horizontal="left" vertical="center" wrapText="1"/>
    </xf>
    <xf numFmtId="0" fontId="3" fillId="0" borderId="17" xfId="0" applyFont="1" applyBorder="1" applyAlignment="1">
      <alignment horizontal="center" vertical="center" wrapText="1"/>
    </xf>
    <xf numFmtId="2" fontId="3" fillId="0" borderId="10" xfId="0" applyNumberFormat="1" applyFont="1" applyBorder="1" applyAlignment="1">
      <alignment horizontal="center" vertical="center" wrapText="1"/>
    </xf>
    <xf numFmtId="2" fontId="11" fillId="0" borderId="10" xfId="0" applyNumberFormat="1" applyFont="1" applyBorder="1" applyAlignment="1">
      <alignment horizontal="center" vertical="center" wrapText="1"/>
    </xf>
    <xf numFmtId="0" fontId="11" fillId="0" borderId="10" xfId="0" applyFont="1" applyBorder="1" applyAlignment="1">
      <alignment horizontal="left" vertical="center" wrapText="1"/>
    </xf>
    <xf numFmtId="0" fontId="11" fillId="0" borderId="10" xfId="0" applyFont="1" applyBorder="1" applyAlignment="1">
      <alignment horizontal="center" vertical="center" wrapText="1"/>
    </xf>
    <xf numFmtId="164" fontId="11" fillId="0" borderId="10" xfId="0" applyNumberFormat="1" applyFont="1" applyBorder="1" applyAlignment="1">
      <alignment horizontal="center" vertical="center" wrapText="1"/>
    </xf>
    <xf numFmtId="4" fontId="3" fillId="5" borderId="1" xfId="0" applyNumberFormat="1" applyFont="1" applyFill="1" applyBorder="1" applyAlignment="1">
      <alignment horizontal="center" vertical="center" wrapText="1"/>
    </xf>
    <xf numFmtId="164" fontId="11" fillId="5" borderId="17" xfId="0" applyNumberFormat="1" applyFont="1" applyFill="1" applyBorder="1" applyAlignment="1">
      <alignment horizontal="center" vertical="center" wrapText="1"/>
    </xf>
    <xf numFmtId="4" fontId="3" fillId="5" borderId="10" xfId="0" applyNumberFormat="1" applyFont="1" applyFill="1" applyBorder="1" applyAlignment="1">
      <alignment horizontal="center" vertical="center" wrapText="1"/>
    </xf>
    <xf numFmtId="2" fontId="3" fillId="5" borderId="16" xfId="0" applyNumberFormat="1" applyFont="1" applyFill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left" vertical="center" wrapText="1"/>
    </xf>
    <xf numFmtId="165" fontId="3" fillId="5" borderId="16" xfId="0" applyNumberFormat="1" applyFont="1" applyFill="1" applyBorder="1" applyAlignment="1">
      <alignment horizontal="center" vertical="center" wrapText="1"/>
    </xf>
    <xf numFmtId="0" fontId="11" fillId="0" borderId="17" xfId="0" applyFont="1" applyBorder="1" applyAlignment="1">
      <alignment horizontal="left" vertical="center" wrapText="1"/>
    </xf>
    <xf numFmtId="0" fontId="3" fillId="0" borderId="0" xfId="0" applyFont="1" applyFill="1" applyAlignment="1">
      <alignment horizontal="center" vertical="center" wrapText="1"/>
    </xf>
    <xf numFmtId="0" fontId="11" fillId="5" borderId="22" xfId="0" applyFont="1" applyFill="1" applyBorder="1" applyAlignment="1">
      <alignment horizontal="center" vertical="center" wrapText="1"/>
    </xf>
    <xf numFmtId="167" fontId="11" fillId="5" borderId="11" xfId="0" applyNumberFormat="1" applyFont="1" applyFill="1" applyBorder="1" applyAlignment="1">
      <alignment horizontal="center" vertical="center" wrapText="1"/>
    </xf>
    <xf numFmtId="0" fontId="30" fillId="5" borderId="10" xfId="0" applyFont="1" applyFill="1" applyBorder="1" applyAlignment="1">
      <alignment vertical="center" wrapText="1"/>
    </xf>
    <xf numFmtId="0" fontId="5" fillId="5" borderId="16" xfId="0" applyFont="1" applyFill="1" applyBorder="1" applyAlignment="1">
      <alignment horizontal="center" vertical="center"/>
    </xf>
    <xf numFmtId="166" fontId="11" fillId="5" borderId="16" xfId="0" applyNumberFormat="1" applyFont="1" applyFill="1" applyBorder="1" applyAlignment="1">
      <alignment horizontal="center" vertical="center" wrapText="1"/>
    </xf>
    <xf numFmtId="0" fontId="0" fillId="5" borderId="0" xfId="0" applyFill="1"/>
    <xf numFmtId="0" fontId="30" fillId="5" borderId="16" xfId="0" applyFont="1" applyFill="1" applyBorder="1" applyAlignment="1">
      <alignment horizontal="left" vertical="center" wrapText="1"/>
    </xf>
    <xf numFmtId="0" fontId="5" fillId="5" borderId="25" xfId="0" applyFont="1" applyFill="1" applyBorder="1" applyAlignment="1">
      <alignment horizontal="center" vertical="center"/>
    </xf>
    <xf numFmtId="0" fontId="0" fillId="5" borderId="9" xfId="0" applyFill="1" applyBorder="1"/>
    <xf numFmtId="0" fontId="30" fillId="5" borderId="25" xfId="0" applyFont="1" applyFill="1" applyBorder="1" applyAlignment="1">
      <alignment vertical="center" wrapText="1"/>
    </xf>
    <xf numFmtId="166" fontId="11" fillId="5" borderId="25" xfId="0" applyNumberFormat="1" applyFont="1" applyFill="1" applyBorder="1" applyAlignment="1">
      <alignment horizontal="center" vertical="center" wrapText="1"/>
    </xf>
    <xf numFmtId="0" fontId="33" fillId="5" borderId="24" xfId="0" applyFont="1" applyFill="1" applyBorder="1" applyAlignment="1">
      <alignment horizontal="left" vertical="center" wrapText="1"/>
    </xf>
    <xf numFmtId="166" fontId="11" fillId="5" borderId="24" xfId="0" applyNumberFormat="1" applyFont="1" applyFill="1" applyBorder="1" applyAlignment="1">
      <alignment horizontal="center" vertical="center" wrapText="1"/>
    </xf>
    <xf numFmtId="0" fontId="7" fillId="5" borderId="10" xfId="0" applyFont="1" applyFill="1" applyBorder="1" applyAlignment="1">
      <alignment vertical="center" wrapText="1"/>
    </xf>
    <xf numFmtId="166" fontId="11" fillId="5" borderId="17" xfId="0" applyNumberFormat="1" applyFont="1" applyFill="1" applyBorder="1" applyAlignment="1">
      <alignment horizontal="center" vertical="center" wrapText="1"/>
    </xf>
    <xf numFmtId="0" fontId="27" fillId="5" borderId="10" xfId="0" applyFont="1" applyFill="1" applyBorder="1" applyAlignment="1">
      <alignment vertical="center" wrapText="1"/>
    </xf>
    <xf numFmtId="166" fontId="11" fillId="5" borderId="10" xfId="0" applyNumberFormat="1" applyFont="1" applyFill="1" applyBorder="1" applyAlignment="1">
      <alignment horizontal="center" vertical="center" wrapText="1"/>
    </xf>
    <xf numFmtId="0" fontId="28" fillId="5" borderId="10" xfId="0" applyFont="1" applyFill="1" applyBorder="1" applyAlignment="1">
      <alignment vertical="center" wrapText="1"/>
    </xf>
    <xf numFmtId="0" fontId="30" fillId="5" borderId="10" xfId="0" applyFont="1" applyFill="1" applyBorder="1" applyAlignment="1">
      <alignment horizontal="right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165" fontId="11" fillId="0" borderId="10" xfId="0" applyNumberFormat="1" applyFont="1" applyBorder="1" applyAlignment="1">
      <alignment horizontal="center" vertical="center" wrapText="1"/>
    </xf>
    <xf numFmtId="0" fontId="11" fillId="0" borderId="0" xfId="0" applyFont="1" applyAlignment="1">
      <alignment horizontal="center"/>
    </xf>
    <xf numFmtId="165" fontId="11" fillId="0" borderId="0" xfId="0" applyNumberFormat="1" applyFont="1" applyAlignment="1">
      <alignment horizontal="center"/>
    </xf>
    <xf numFmtId="0" fontId="11" fillId="5" borderId="36" xfId="0" applyFont="1" applyFill="1" applyBorder="1" applyAlignment="1">
      <alignment horizontal="left" wrapText="1"/>
    </xf>
    <xf numFmtId="0" fontId="5" fillId="5" borderId="10" xfId="0" applyFont="1" applyFill="1" applyBorder="1" applyAlignment="1">
      <alignment horizontal="center" vertical="center"/>
    </xf>
    <xf numFmtId="0" fontId="11" fillId="5" borderId="12" xfId="0" applyFont="1" applyFill="1" applyBorder="1" applyAlignment="1">
      <alignment horizontal="left" wrapText="1"/>
    </xf>
    <xf numFmtId="0" fontId="5" fillId="5" borderId="11" xfId="0" applyFont="1" applyFill="1" applyBorder="1" applyAlignment="1">
      <alignment horizontal="left" vertical="center" wrapText="1"/>
    </xf>
    <xf numFmtId="0" fontId="5" fillId="5" borderId="11" xfId="0" applyFont="1" applyFill="1" applyBorder="1" applyAlignment="1">
      <alignment horizontal="left"/>
    </xf>
    <xf numFmtId="0" fontId="5" fillId="5" borderId="35" xfId="0" applyFont="1" applyFill="1" applyBorder="1" applyAlignment="1">
      <alignment horizontal="left"/>
    </xf>
    <xf numFmtId="168" fontId="11" fillId="5" borderId="10" xfId="1" applyNumberFormat="1" applyFont="1" applyFill="1" applyBorder="1" applyAlignment="1">
      <alignment horizontal="left" vertical="center" wrapText="1"/>
    </xf>
    <xf numFmtId="0" fontId="32" fillId="0" borderId="1" xfId="0" applyFont="1" applyFill="1" applyBorder="1" applyAlignment="1">
      <alignment vertical="center" wrapText="1"/>
    </xf>
    <xf numFmtId="0" fontId="33" fillId="0" borderId="0" xfId="0" applyFont="1" applyFill="1" applyBorder="1" applyAlignment="1">
      <alignment vertical="center" wrapText="1"/>
    </xf>
    <xf numFmtId="0" fontId="3" fillId="6" borderId="1" xfId="0" applyFont="1" applyFill="1" applyBorder="1" applyAlignment="1">
      <alignment horizontal="center" vertical="center" wrapText="1"/>
    </xf>
    <xf numFmtId="0" fontId="19" fillId="6" borderId="4" xfId="0" applyFont="1" applyFill="1" applyBorder="1" applyAlignment="1">
      <alignment horizontal="center"/>
    </xf>
    <xf numFmtId="0" fontId="19" fillId="6" borderId="5" xfId="0" applyFont="1" applyFill="1" applyBorder="1" applyAlignment="1">
      <alignment horizontal="center"/>
    </xf>
    <xf numFmtId="0" fontId="19" fillId="6" borderId="3" xfId="0" applyFont="1" applyFill="1" applyBorder="1" applyAlignment="1">
      <alignment horizontal="center"/>
    </xf>
    <xf numFmtId="0" fontId="23" fillId="3" borderId="23" xfId="0" applyFont="1" applyFill="1" applyBorder="1" applyAlignment="1">
      <alignment horizontal="center" vertical="center" wrapText="1"/>
    </xf>
    <xf numFmtId="0" fontId="19" fillId="0" borderId="4" xfId="0" applyFont="1" applyFill="1" applyBorder="1" applyAlignment="1">
      <alignment horizontal="center"/>
    </xf>
    <xf numFmtId="0" fontId="19" fillId="5" borderId="4" xfId="0" applyFont="1" applyFill="1" applyBorder="1" applyAlignment="1">
      <alignment horizontal="center" vertical="center" wrapText="1"/>
    </xf>
    <xf numFmtId="0" fontId="19" fillId="0" borderId="4" xfId="0" applyFont="1" applyBorder="1"/>
    <xf numFmtId="2" fontId="19" fillId="2" borderId="4" xfId="0" applyNumberFormat="1" applyFont="1" applyFill="1" applyBorder="1"/>
    <xf numFmtId="0" fontId="22" fillId="7" borderId="4" xfId="0" applyFont="1" applyFill="1" applyBorder="1"/>
    <xf numFmtId="2" fontId="21" fillId="2" borderId="4" xfId="0" applyNumberFormat="1" applyFont="1" applyFill="1" applyBorder="1"/>
    <xf numFmtId="0" fontId="19" fillId="5" borderId="2" xfId="0" applyFont="1" applyFill="1" applyBorder="1" applyAlignment="1">
      <alignment horizontal="center"/>
    </xf>
    <xf numFmtId="0" fontId="19" fillId="5" borderId="3" xfId="0" applyFont="1" applyFill="1" applyBorder="1" applyAlignment="1">
      <alignment horizontal="center"/>
    </xf>
    <xf numFmtId="0" fontId="19" fillId="5" borderId="3" xfId="0" applyFont="1" applyFill="1" applyBorder="1" applyAlignment="1">
      <alignment horizontal="center" vertical="center" wrapText="1"/>
    </xf>
    <xf numFmtId="2" fontId="22" fillId="2" borderId="3" xfId="0" applyNumberFormat="1" applyFont="1" applyFill="1" applyBorder="1"/>
    <xf numFmtId="0" fontId="19" fillId="8" borderId="3" xfId="0" applyFont="1" applyFill="1" applyBorder="1" applyAlignment="1">
      <alignment wrapText="1"/>
    </xf>
    <xf numFmtId="0" fontId="19" fillId="8" borderId="3" xfId="0" applyFont="1" applyFill="1" applyBorder="1" applyAlignment="1">
      <alignment horizontal="center" vertical="center" wrapText="1"/>
    </xf>
    <xf numFmtId="0" fontId="19" fillId="8" borderId="3" xfId="0" applyFont="1" applyFill="1" applyBorder="1" applyAlignment="1">
      <alignment horizontal="center"/>
    </xf>
    <xf numFmtId="0" fontId="19" fillId="8" borderId="19" xfId="0" applyFont="1" applyFill="1" applyBorder="1" applyAlignment="1">
      <alignment horizontal="center"/>
    </xf>
    <xf numFmtId="0" fontId="19" fillId="8" borderId="19" xfId="0" applyFont="1" applyFill="1" applyBorder="1" applyAlignment="1">
      <alignment horizontal="center" vertical="center" wrapText="1"/>
    </xf>
    <xf numFmtId="0" fontId="22" fillId="8" borderId="3" xfId="0" applyFont="1" applyFill="1" applyBorder="1"/>
    <xf numFmtId="2" fontId="42" fillId="2" borderId="3" xfId="0" applyNumberFormat="1" applyFont="1" applyFill="1" applyBorder="1"/>
    <xf numFmtId="0" fontId="0" fillId="8" borderId="0" xfId="0" applyFill="1"/>
    <xf numFmtId="0" fontId="29" fillId="0" borderId="0" xfId="0" applyFont="1" applyFill="1"/>
    <xf numFmtId="0" fontId="29" fillId="0" borderId="0" xfId="0" applyFont="1" applyFill="1" applyBorder="1"/>
    <xf numFmtId="0" fontId="1" fillId="0" borderId="0" xfId="0" applyFont="1" applyFill="1" applyAlignment="1">
      <alignment horizontal="right"/>
    </xf>
    <xf numFmtId="0" fontId="1" fillId="0" borderId="0" xfId="0" applyFont="1" applyFill="1"/>
    <xf numFmtId="0" fontId="1" fillId="0" borderId="0" xfId="0" applyFont="1" applyFill="1" applyBorder="1"/>
    <xf numFmtId="0" fontId="19" fillId="5" borderId="4" xfId="0" applyFont="1" applyFill="1" applyBorder="1" applyAlignment="1">
      <alignment horizontal="center"/>
    </xf>
    <xf numFmtId="0" fontId="0" fillId="0" borderId="39" xfId="0" applyBorder="1"/>
    <xf numFmtId="0" fontId="11" fillId="0" borderId="0" xfId="0" applyFont="1" applyFill="1"/>
    <xf numFmtId="0" fontId="43" fillId="0" borderId="0" xfId="0" applyFont="1" applyFill="1"/>
    <xf numFmtId="0" fontId="11" fillId="0" borderId="1" xfId="0" applyFont="1" applyFill="1" applyBorder="1" applyAlignment="1">
      <alignment horizontal="left" vertical="center" wrapText="1"/>
    </xf>
    <xf numFmtId="1" fontId="0" fillId="0" borderId="23" xfId="0" applyNumberFormat="1" applyFill="1" applyBorder="1"/>
    <xf numFmtId="0" fontId="0" fillId="0" borderId="1" xfId="0" applyFill="1" applyBorder="1"/>
    <xf numFmtId="1" fontId="0" fillId="0" borderId="0" xfId="0" applyNumberFormat="1" applyFill="1"/>
    <xf numFmtId="0" fontId="7" fillId="0" borderId="1" xfId="0" applyFont="1" applyFill="1" applyBorder="1" applyAlignment="1">
      <alignment horizontal="left" vertical="center" wrapText="1"/>
    </xf>
    <xf numFmtId="2" fontId="0" fillId="0" borderId="0" xfId="0" applyNumberFormat="1" applyFill="1"/>
    <xf numFmtId="1" fontId="0" fillId="0" borderId="0" xfId="0" applyNumberFormat="1"/>
    <xf numFmtId="1" fontId="0" fillId="6" borderId="1" xfId="0" applyNumberFormat="1" applyFill="1" applyBorder="1"/>
    <xf numFmtId="10" fontId="0" fillId="0" borderId="0" xfId="0" applyNumberFormat="1"/>
    <xf numFmtId="1" fontId="0" fillId="6" borderId="0" xfId="0" applyNumberFormat="1" applyFill="1"/>
    <xf numFmtId="0" fontId="11" fillId="0" borderId="18" xfId="0" applyFont="1" applyBorder="1" applyAlignment="1">
      <alignment horizontal="center" vertical="center" wrapText="1"/>
    </xf>
    <xf numFmtId="0" fontId="0" fillId="0" borderId="1" xfId="0" applyFill="1" applyBorder="1" applyAlignment="1">
      <alignment horizontal="right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2" fillId="0" borderId="40" xfId="0" applyFont="1" applyFill="1" applyBorder="1" applyAlignment="1">
      <alignment vertical="center" wrapText="1"/>
    </xf>
    <xf numFmtId="0" fontId="0" fillId="0" borderId="12" xfId="0" applyFill="1" applyBorder="1"/>
    <xf numFmtId="0" fontId="0" fillId="0" borderId="0" xfId="0" applyFill="1" applyBorder="1"/>
    <xf numFmtId="0" fontId="11" fillId="5" borderId="10" xfId="0" applyFont="1" applyFill="1" applyBorder="1" applyAlignment="1">
      <alignment horizontal="center" vertical="center" wrapText="1"/>
    </xf>
    <xf numFmtId="164" fontId="0" fillId="0" borderId="0" xfId="0" applyNumberFormat="1" applyFill="1"/>
    <xf numFmtId="1" fontId="0" fillId="0" borderId="1" xfId="0" applyNumberFormat="1" applyFill="1" applyBorder="1"/>
    <xf numFmtId="165" fontId="0" fillId="0" borderId="1" xfId="0" applyNumberFormat="1" applyFill="1" applyBorder="1"/>
    <xf numFmtId="1" fontId="3" fillId="0" borderId="10" xfId="0" applyNumberFormat="1" applyFont="1" applyFill="1" applyBorder="1" applyAlignment="1">
      <alignment horizontal="center" vertical="center" wrapText="1"/>
    </xf>
    <xf numFmtId="2" fontId="11" fillId="0" borderId="0" xfId="0" applyNumberFormat="1" applyFont="1" applyAlignment="1">
      <alignment horizontal="center"/>
    </xf>
    <xf numFmtId="164" fontId="11" fillId="0" borderId="41" xfId="0" applyNumberFormat="1" applyFont="1" applyBorder="1" applyAlignment="1">
      <alignment horizontal="center" vertical="center" wrapText="1"/>
    </xf>
    <xf numFmtId="0" fontId="11" fillId="0" borderId="41" xfId="0" applyFont="1" applyBorder="1" applyAlignment="1">
      <alignment horizontal="center" vertical="center" wrapText="1"/>
    </xf>
    <xf numFmtId="165" fontId="11" fillId="0" borderId="12" xfId="0" applyNumberFormat="1" applyFont="1" applyBorder="1" applyAlignment="1">
      <alignment horizontal="center"/>
    </xf>
    <xf numFmtId="0" fontId="11" fillId="0" borderId="12" xfId="0" applyFont="1" applyBorder="1" applyAlignment="1">
      <alignment horizontal="center"/>
    </xf>
    <xf numFmtId="2" fontId="11" fillId="0" borderId="12" xfId="0" applyNumberFormat="1" applyFont="1" applyBorder="1" applyAlignment="1">
      <alignment horizontal="center"/>
    </xf>
    <xf numFmtId="164" fontId="3" fillId="0" borderId="10" xfId="0" applyNumberFormat="1" applyFont="1" applyBorder="1" applyAlignment="1">
      <alignment horizontal="center" vertical="center" wrapText="1"/>
    </xf>
    <xf numFmtId="169" fontId="11" fillId="5" borderId="10" xfId="1" applyNumberFormat="1" applyFont="1" applyFill="1" applyBorder="1" applyAlignment="1">
      <alignment vertical="center" wrapText="1"/>
    </xf>
    <xf numFmtId="0" fontId="11" fillId="0" borderId="17" xfId="0" applyFont="1" applyBorder="1" applyAlignment="1">
      <alignment horizontal="center" vertical="center" wrapText="1"/>
    </xf>
    <xf numFmtId="165" fontId="0" fillId="0" borderId="0" xfId="0" applyNumberFormat="1"/>
    <xf numFmtId="0" fontId="32" fillId="5" borderId="1" xfId="0" applyFont="1" applyFill="1" applyBorder="1" applyAlignment="1">
      <alignment vertical="center" wrapText="1"/>
    </xf>
    <xf numFmtId="164" fontId="3" fillId="0" borderId="1" xfId="0" applyNumberFormat="1" applyFont="1" applyBorder="1" applyAlignment="1">
      <alignment horizontal="center" vertical="center" wrapText="1"/>
    </xf>
    <xf numFmtId="165" fontId="11" fillId="5" borderId="10" xfId="0" applyNumberFormat="1" applyFont="1" applyFill="1" applyBorder="1" applyAlignment="1">
      <alignment horizontal="center" vertical="center" wrapText="1"/>
    </xf>
    <xf numFmtId="0" fontId="3" fillId="0" borderId="23" xfId="0" applyFont="1" applyFill="1" applyBorder="1" applyAlignment="1">
      <alignment horizontal="center" vertical="center" wrapText="1"/>
    </xf>
    <xf numFmtId="0" fontId="45" fillId="0" borderId="10" xfId="0" applyFont="1" applyBorder="1" applyAlignment="1">
      <alignment horizontal="center" vertical="center" wrapText="1"/>
    </xf>
    <xf numFmtId="0" fontId="46" fillId="0" borderId="1" xfId="0" applyFont="1" applyFill="1" applyBorder="1" applyAlignment="1">
      <alignment horizontal="center" wrapText="1"/>
    </xf>
    <xf numFmtId="165" fontId="0" fillId="0" borderId="1" xfId="0" applyNumberFormat="1" applyBorder="1"/>
    <xf numFmtId="164" fontId="3" fillId="0" borderId="16" xfId="0" applyNumberFormat="1" applyFont="1" applyBorder="1" applyAlignment="1">
      <alignment horizontal="center" vertical="center" wrapText="1"/>
    </xf>
    <xf numFmtId="2" fontId="3" fillId="0" borderId="16" xfId="0" applyNumberFormat="1" applyFont="1" applyBorder="1" applyAlignment="1">
      <alignment horizontal="center" vertical="center" wrapText="1"/>
    </xf>
    <xf numFmtId="165" fontId="3" fillId="0" borderId="16" xfId="0" applyNumberFormat="1" applyFont="1" applyBorder="1" applyAlignment="1">
      <alignment horizontal="center" vertical="center" wrapText="1"/>
    </xf>
    <xf numFmtId="2" fontId="11" fillId="0" borderId="10" xfId="0" applyNumberFormat="1" applyFont="1" applyFill="1" applyBorder="1" applyAlignment="1">
      <alignment horizontal="center" vertical="center" wrapText="1"/>
    </xf>
    <xf numFmtId="165" fontId="11" fillId="0" borderId="10" xfId="0" applyNumberFormat="1" applyFont="1" applyBorder="1" applyAlignment="1">
      <alignment vertical="center" wrapText="1"/>
    </xf>
    <xf numFmtId="1" fontId="11" fillId="5" borderId="10" xfId="0" applyNumberFormat="1" applyFont="1" applyFill="1" applyBorder="1" applyAlignment="1">
      <alignment horizontal="center" vertical="center" wrapText="1"/>
    </xf>
    <xf numFmtId="0" fontId="3" fillId="5" borderId="10" xfId="0" applyFont="1" applyFill="1" applyBorder="1" applyAlignment="1">
      <alignment horizontal="center" vertical="center" wrapText="1"/>
    </xf>
    <xf numFmtId="0" fontId="11" fillId="5" borderId="10" xfId="0" applyFont="1" applyFill="1" applyBorder="1" applyAlignment="1">
      <alignment horizontal="left" vertical="center" wrapText="1"/>
    </xf>
    <xf numFmtId="0" fontId="1" fillId="5" borderId="10" xfId="0" applyFont="1" applyFill="1" applyBorder="1" applyAlignment="1">
      <alignment horizontal="left" vertical="center" wrapText="1"/>
    </xf>
    <xf numFmtId="164" fontId="1" fillId="5" borderId="10" xfId="0" applyNumberFormat="1" applyFont="1" applyFill="1" applyBorder="1" applyAlignment="1">
      <alignment horizontal="left" vertical="center" wrapText="1"/>
    </xf>
    <xf numFmtId="2" fontId="11" fillId="5" borderId="10" xfId="0" applyNumberFormat="1" applyFont="1" applyFill="1" applyBorder="1" applyAlignment="1">
      <alignment horizontal="center" vertical="center" wrapText="1"/>
    </xf>
    <xf numFmtId="164" fontId="3" fillId="5" borderId="10" xfId="0" applyNumberFormat="1" applyFont="1" applyFill="1" applyBorder="1" applyAlignment="1">
      <alignment horizontal="center" vertical="center" wrapText="1"/>
    </xf>
    <xf numFmtId="164" fontId="3" fillId="5" borderId="16" xfId="0" applyNumberFormat="1" applyFont="1" applyFill="1" applyBorder="1" applyAlignment="1">
      <alignment horizontal="center" vertical="center" wrapText="1"/>
    </xf>
    <xf numFmtId="0" fontId="11" fillId="0" borderId="10" xfId="0" applyFont="1" applyFill="1" applyBorder="1" applyAlignment="1">
      <alignment horizontal="center" vertical="center" wrapText="1"/>
    </xf>
    <xf numFmtId="0" fontId="11" fillId="5" borderId="0" xfId="0" applyFont="1" applyFill="1" applyAlignment="1">
      <alignment vertical="center"/>
    </xf>
    <xf numFmtId="2" fontId="0" fillId="9" borderId="1" xfId="0" applyNumberFormat="1" applyFill="1" applyBorder="1"/>
    <xf numFmtId="2" fontId="0" fillId="9" borderId="0" xfId="0" applyNumberFormat="1" applyFill="1"/>
    <xf numFmtId="0" fontId="16" fillId="9" borderId="0" xfId="0" applyFont="1" applyFill="1"/>
    <xf numFmtId="0" fontId="0" fillId="9" borderId="1" xfId="0" applyFill="1" applyBorder="1"/>
    <xf numFmtId="0" fontId="19" fillId="6" borderId="38" xfId="0" applyFont="1" applyFill="1" applyBorder="1" applyAlignment="1">
      <alignment horizontal="center"/>
    </xf>
    <xf numFmtId="0" fontId="11" fillId="6" borderId="12" xfId="0" applyFont="1" applyFill="1" applyBorder="1"/>
    <xf numFmtId="0" fontId="11" fillId="5" borderId="18" xfId="0" applyFont="1" applyFill="1" applyBorder="1" applyAlignment="1">
      <alignment horizontal="center" vertical="center" wrapText="1"/>
    </xf>
    <xf numFmtId="0" fontId="4" fillId="5" borderId="10" xfId="0" applyFont="1" applyFill="1" applyBorder="1" applyAlignment="1">
      <alignment horizontal="center" vertical="center" wrapText="1"/>
    </xf>
    <xf numFmtId="0" fontId="3" fillId="5" borderId="1" xfId="0" applyFont="1" applyFill="1" applyBorder="1" applyAlignment="1">
      <alignment horizontal="center" vertical="center" wrapText="1"/>
    </xf>
    <xf numFmtId="0" fontId="3" fillId="5" borderId="1" xfId="0" applyFont="1" applyFill="1" applyBorder="1" applyAlignment="1">
      <alignment horizontal="center" vertical="center"/>
    </xf>
    <xf numFmtId="2" fontId="3" fillId="5" borderId="1" xfId="0" applyNumberFormat="1" applyFont="1" applyFill="1" applyBorder="1" applyAlignment="1">
      <alignment horizontal="center" vertical="center" wrapText="1"/>
    </xf>
    <xf numFmtId="0" fontId="11" fillId="5" borderId="1" xfId="0" applyFont="1" applyFill="1" applyBorder="1" applyAlignment="1">
      <alignment horizontal="left" vertical="center" wrapText="1"/>
    </xf>
    <xf numFmtId="1" fontId="11" fillId="5" borderId="1" xfId="0" applyNumberFormat="1" applyFont="1" applyFill="1" applyBorder="1" applyAlignment="1">
      <alignment horizontal="center" vertical="center" wrapText="1"/>
    </xf>
    <xf numFmtId="0" fontId="11" fillId="5" borderId="1" xfId="0" applyFont="1" applyFill="1" applyBorder="1"/>
    <xf numFmtId="0" fontId="0" fillId="5" borderId="1" xfId="0" applyFill="1" applyBorder="1"/>
    <xf numFmtId="0" fontId="46" fillId="5" borderId="20" xfId="0" applyFont="1" applyFill="1" applyBorder="1" applyAlignment="1">
      <alignment horizontal="center" wrapText="1"/>
    </xf>
    <xf numFmtId="0" fontId="47" fillId="5" borderId="1" xfId="0" applyFont="1" applyFill="1" applyBorder="1" applyAlignment="1">
      <alignment horizontal="center"/>
    </xf>
    <xf numFmtId="0" fontId="44" fillId="5" borderId="1" xfId="0" applyFont="1" applyFill="1" applyBorder="1"/>
    <xf numFmtId="0" fontId="7" fillId="5" borderId="1" xfId="0" applyFont="1" applyFill="1" applyBorder="1" applyAlignment="1">
      <alignment horizontal="left" vertical="center" wrapText="1"/>
    </xf>
    <xf numFmtId="0" fontId="33" fillId="5" borderId="1" xfId="0" applyFont="1" applyFill="1" applyBorder="1" applyAlignment="1">
      <alignment vertical="center" wrapText="1"/>
    </xf>
    <xf numFmtId="0" fontId="3" fillId="5" borderId="1" xfId="0" applyFont="1" applyFill="1" applyBorder="1" applyAlignment="1">
      <alignment horizontal="left" vertical="center" wrapText="1"/>
    </xf>
    <xf numFmtId="1" fontId="3" fillId="5" borderId="1" xfId="0" applyNumberFormat="1" applyFont="1" applyFill="1" applyBorder="1" applyAlignment="1">
      <alignment horizontal="center" vertical="center" wrapText="1"/>
    </xf>
    <xf numFmtId="0" fontId="3" fillId="5" borderId="1" xfId="0" applyFont="1" applyFill="1" applyBorder="1"/>
    <xf numFmtId="0" fontId="1" fillId="0" borderId="0" xfId="0" applyFont="1" applyAlignment="1">
      <alignment horizontal="right" vertical="center"/>
    </xf>
    <xf numFmtId="0" fontId="3" fillId="0" borderId="0" xfId="0" applyFont="1" applyAlignment="1">
      <alignment horizontal="center" vertical="center" wrapText="1"/>
    </xf>
    <xf numFmtId="0" fontId="3" fillId="3" borderId="28" xfId="0" applyFont="1" applyFill="1" applyBorder="1" applyAlignment="1">
      <alignment horizontal="center" vertical="center" wrapText="1"/>
    </xf>
    <xf numFmtId="0" fontId="3" fillId="3" borderId="12" xfId="0" applyFont="1" applyFill="1" applyBorder="1" applyAlignment="1">
      <alignment horizontal="center" vertical="center" wrapText="1"/>
    </xf>
    <xf numFmtId="0" fontId="3" fillId="3" borderId="16" xfId="0" applyFont="1" applyFill="1" applyBorder="1" applyAlignment="1">
      <alignment horizontal="center" vertical="center" wrapText="1"/>
    </xf>
    <xf numFmtId="0" fontId="26" fillId="0" borderId="0" xfId="0" applyFont="1" applyAlignment="1">
      <alignment horizontal="center" vertical="center" wrapText="1"/>
    </xf>
    <xf numFmtId="0" fontId="3" fillId="3" borderId="21" xfId="0" applyFont="1" applyFill="1" applyBorder="1" applyAlignment="1">
      <alignment horizontal="center" vertical="center" wrapText="1"/>
    </xf>
    <xf numFmtId="0" fontId="3" fillId="3" borderId="20" xfId="0" applyFont="1" applyFill="1" applyBorder="1" applyAlignment="1">
      <alignment horizontal="center" vertical="center" wrapText="1"/>
    </xf>
    <xf numFmtId="0" fontId="3" fillId="3" borderId="23" xfId="0" applyFont="1" applyFill="1" applyBorder="1" applyAlignment="1">
      <alignment horizontal="center" vertical="center" wrapText="1"/>
    </xf>
    <xf numFmtId="0" fontId="3" fillId="3" borderId="26" xfId="0" applyFont="1" applyFill="1" applyBorder="1" applyAlignment="1">
      <alignment horizontal="center" vertical="center" wrapText="1"/>
    </xf>
    <xf numFmtId="0" fontId="3" fillId="3" borderId="27" xfId="0" applyFont="1" applyFill="1" applyBorder="1" applyAlignment="1">
      <alignment horizontal="center" vertical="center" wrapText="1"/>
    </xf>
    <xf numFmtId="0" fontId="3" fillId="3" borderId="28" xfId="0" applyFont="1" applyFill="1" applyBorder="1" applyAlignment="1">
      <alignment horizontal="center" vertical="center"/>
    </xf>
    <xf numFmtId="0" fontId="3" fillId="3" borderId="12" xfId="0" applyFont="1" applyFill="1" applyBorder="1" applyAlignment="1">
      <alignment horizontal="center" vertical="center"/>
    </xf>
    <xf numFmtId="0" fontId="3" fillId="3" borderId="16" xfId="0" applyFont="1" applyFill="1" applyBorder="1" applyAlignment="1">
      <alignment horizontal="center" vertical="center"/>
    </xf>
    <xf numFmtId="0" fontId="12" fillId="0" borderId="0" xfId="0" applyFont="1" applyFill="1" applyAlignment="1">
      <alignment horizontal="center" vertical="center" wrapText="1"/>
    </xf>
    <xf numFmtId="0" fontId="4" fillId="3" borderId="29" xfId="0" applyFont="1" applyFill="1" applyBorder="1" applyAlignment="1">
      <alignment horizontal="center" vertical="center" wrapText="1"/>
    </xf>
    <xf numFmtId="0" fontId="4" fillId="3" borderId="30" xfId="0" applyFont="1" applyFill="1" applyBorder="1" applyAlignment="1">
      <alignment horizontal="center" vertical="center" wrapText="1"/>
    </xf>
    <xf numFmtId="0" fontId="4" fillId="3" borderId="23" xfId="0" applyFont="1" applyFill="1" applyBorder="1" applyAlignment="1">
      <alignment horizontal="center" vertical="center" wrapText="1"/>
    </xf>
    <xf numFmtId="0" fontId="4" fillId="3" borderId="26" xfId="0" applyFont="1" applyFill="1" applyBorder="1" applyAlignment="1">
      <alignment horizontal="center" vertical="center" wrapText="1"/>
    </xf>
    <xf numFmtId="0" fontId="4" fillId="3" borderId="27" xfId="0" applyFont="1" applyFill="1" applyBorder="1" applyAlignment="1">
      <alignment horizontal="center" vertical="center" wrapText="1"/>
    </xf>
    <xf numFmtId="0" fontId="19" fillId="0" borderId="7" xfId="0" applyFont="1" applyFill="1" applyBorder="1"/>
    <xf numFmtId="0" fontId="19" fillId="0" borderId="0" xfId="0" applyFont="1" applyFill="1" applyBorder="1"/>
    <xf numFmtId="0" fontId="21" fillId="0" borderId="30" xfId="0" applyFont="1" applyBorder="1" applyAlignment="1">
      <alignment vertical="center" wrapText="1"/>
    </xf>
    <xf numFmtId="0" fontId="19" fillId="3" borderId="13" xfId="0" applyFont="1" applyFill="1" applyBorder="1" applyAlignment="1">
      <alignment horizontal="center" vertical="center" wrapText="1"/>
    </xf>
    <xf numFmtId="0" fontId="20" fillId="4" borderId="31" xfId="0" applyFont="1" applyFill="1" applyBorder="1" applyAlignment="1">
      <alignment horizontal="center"/>
    </xf>
    <xf numFmtId="0" fontId="20" fillId="4" borderId="30" xfId="0" applyFont="1" applyFill="1" applyBorder="1" applyAlignment="1">
      <alignment horizontal="center"/>
    </xf>
    <xf numFmtId="0" fontId="20" fillId="3" borderId="37" xfId="0" applyFont="1" applyFill="1" applyBorder="1" applyAlignment="1">
      <alignment horizontal="center" vertical="center" wrapText="1"/>
    </xf>
    <xf numFmtId="0" fontId="20" fillId="3" borderId="0" xfId="0" applyFont="1" applyFill="1" applyBorder="1" applyAlignment="1">
      <alignment horizontal="center" vertical="center" wrapText="1"/>
    </xf>
    <xf numFmtId="0" fontId="20" fillId="3" borderId="37" xfId="0" applyFont="1" applyFill="1" applyBorder="1" applyAlignment="1">
      <alignment horizontal="center" vertical="justify" wrapText="1"/>
    </xf>
    <xf numFmtId="0" fontId="20" fillId="3" borderId="0" xfId="0" applyFont="1" applyFill="1" applyBorder="1" applyAlignment="1">
      <alignment horizontal="center" vertical="justify" wrapText="1"/>
    </xf>
    <xf numFmtId="0" fontId="20" fillId="3" borderId="31" xfId="0" applyFont="1" applyFill="1" applyBorder="1" applyAlignment="1">
      <alignment horizontal="center" wrapText="1"/>
    </xf>
    <xf numFmtId="0" fontId="20" fillId="3" borderId="30" xfId="0" applyFont="1" applyFill="1" applyBorder="1" applyAlignment="1">
      <alignment horizontal="center" wrapText="1"/>
    </xf>
    <xf numFmtId="0" fontId="31" fillId="0" borderId="0" xfId="0" applyFont="1" applyFill="1" applyAlignment="1">
      <alignment horizontal="right" vertical="center" wrapText="1"/>
    </xf>
    <xf numFmtId="0" fontId="17" fillId="0" borderId="0" xfId="0" applyFont="1" applyFill="1" applyAlignment="1">
      <alignment horizontal="center" vertical="center" wrapText="1"/>
    </xf>
    <xf numFmtId="0" fontId="18" fillId="0" borderId="0" xfId="0" applyFont="1" applyFill="1" applyAlignment="1">
      <alignment horizontal="center" vertical="center" wrapText="1"/>
    </xf>
    <xf numFmtId="0" fontId="19" fillId="3" borderId="23" xfId="0" applyFont="1" applyFill="1" applyBorder="1" applyAlignment="1">
      <alignment horizontal="center" vertical="center" wrapText="1"/>
    </xf>
    <xf numFmtId="0" fontId="19" fillId="3" borderId="26" xfId="0" applyFont="1" applyFill="1" applyBorder="1" applyAlignment="1">
      <alignment horizontal="center" vertical="center" wrapText="1"/>
    </xf>
    <xf numFmtId="0" fontId="19" fillId="3" borderId="27" xfId="0" applyFont="1" applyFill="1" applyBorder="1" applyAlignment="1">
      <alignment horizontal="center" vertical="center" wrapText="1"/>
    </xf>
    <xf numFmtId="0" fontId="19" fillId="3" borderId="1" xfId="0" applyFont="1" applyFill="1" applyBorder="1" applyAlignment="1">
      <alignment horizontal="center" vertical="center" wrapText="1"/>
    </xf>
    <xf numFmtId="0" fontId="19" fillId="3" borderId="37" xfId="0" applyFont="1" applyFill="1" applyBorder="1" applyAlignment="1">
      <alignment horizontal="center" vertical="center" wrapText="1"/>
    </xf>
    <xf numFmtId="0" fontId="19" fillId="3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11" fillId="3" borderId="1" xfId="0" applyFont="1" applyFill="1" applyBorder="1" applyAlignment="1">
      <alignment horizontal="center" vertical="center" wrapText="1"/>
    </xf>
    <xf numFmtId="0" fontId="11" fillId="3" borderId="21" xfId="0" applyFont="1" applyFill="1" applyBorder="1" applyAlignment="1">
      <alignment horizontal="center" vertical="center" wrapText="1"/>
    </xf>
    <xf numFmtId="0" fontId="11" fillId="3" borderId="20" xfId="0" applyFont="1" applyFill="1" applyBorder="1" applyAlignment="1">
      <alignment horizontal="center" vertical="center" wrapText="1"/>
    </xf>
    <xf numFmtId="0" fontId="11" fillId="3" borderId="23" xfId="0" applyFont="1" applyFill="1" applyBorder="1" applyAlignment="1">
      <alignment horizontal="center" vertical="center" wrapText="1"/>
    </xf>
    <xf numFmtId="0" fontId="11" fillId="3" borderId="27" xfId="0" applyFont="1" applyFill="1" applyBorder="1" applyAlignment="1">
      <alignment horizontal="center" vertical="center" wrapText="1"/>
    </xf>
    <xf numFmtId="0" fontId="11" fillId="3" borderId="26" xfId="0" applyFont="1" applyFill="1" applyBorder="1" applyAlignment="1">
      <alignment horizontal="center" vertical="center" wrapText="1"/>
    </xf>
    <xf numFmtId="0" fontId="11" fillId="0" borderId="23" xfId="0" applyFont="1" applyBorder="1" applyAlignment="1">
      <alignment horizontal="center" vertical="center" wrapText="1"/>
    </xf>
    <xf numFmtId="0" fontId="11" fillId="0" borderId="27" xfId="0" applyFont="1" applyBorder="1" applyAlignment="1">
      <alignment horizontal="center" vertical="center" wrapText="1"/>
    </xf>
    <xf numFmtId="0" fontId="11" fillId="3" borderId="29" xfId="0" applyFont="1" applyFill="1" applyBorder="1" applyAlignment="1">
      <alignment horizontal="center" vertical="center" wrapText="1"/>
    </xf>
    <xf numFmtId="0" fontId="11" fillId="3" borderId="30" xfId="0" applyFont="1" applyFill="1" applyBorder="1" applyAlignment="1">
      <alignment horizontal="center" vertical="center" wrapText="1"/>
    </xf>
    <xf numFmtId="0" fontId="11" fillId="3" borderId="32" xfId="0" applyFont="1" applyFill="1" applyBorder="1" applyAlignment="1">
      <alignment horizontal="center" vertical="center" wrapText="1"/>
    </xf>
    <xf numFmtId="0" fontId="11" fillId="3" borderId="33" xfId="0" applyFont="1" applyFill="1" applyBorder="1" applyAlignment="1">
      <alignment horizontal="center" vertical="center" wrapText="1"/>
    </xf>
    <xf numFmtId="0" fontId="11" fillId="3" borderId="9" xfId="0" applyFont="1" applyFill="1" applyBorder="1" applyAlignment="1">
      <alignment horizontal="center" vertical="center" wrapText="1"/>
    </xf>
    <xf numFmtId="0" fontId="11" fillId="3" borderId="34" xfId="0" applyFont="1" applyFill="1" applyBorder="1" applyAlignment="1">
      <alignment horizontal="center" vertical="center" wrapText="1"/>
    </xf>
    <xf numFmtId="0" fontId="11" fillId="3" borderId="12" xfId="0" applyFont="1" applyFill="1" applyBorder="1" applyAlignment="1">
      <alignment horizontal="center" vertical="center" wrapText="1"/>
    </xf>
    <xf numFmtId="0" fontId="12" fillId="0" borderId="0" xfId="0" applyFont="1" applyAlignment="1">
      <alignment horizontal="right" vertical="center"/>
    </xf>
    <xf numFmtId="0" fontId="12" fillId="0" borderId="0" xfId="0" applyFont="1" applyAlignment="1">
      <alignment horizontal="center" vertical="center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colors>
    <mruColors>
      <color rgb="FFC0C0C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Лист1">
    <tabColor indexed="50"/>
  </sheetPr>
  <dimension ref="A1:O171"/>
  <sheetViews>
    <sheetView tabSelected="1" view="pageBreakPreview" topLeftCell="A136" zoomScale="75" zoomScaleNormal="75" workbookViewId="0">
      <selection activeCell="F149" sqref="F149"/>
    </sheetView>
  </sheetViews>
  <sheetFormatPr defaultRowHeight="18.75" x14ac:dyDescent="0.3"/>
  <cols>
    <col min="1" max="1" width="74.7109375" customWidth="1"/>
    <col min="2" max="2" width="15.140625" customWidth="1"/>
    <col min="3" max="3" width="13.85546875" style="24" customWidth="1"/>
    <col min="4" max="4" width="14.140625" style="43" customWidth="1"/>
    <col min="5" max="5" width="13" customWidth="1"/>
    <col min="6" max="6" width="15.28515625" customWidth="1"/>
    <col min="7" max="7" width="15.5703125" bestFit="1" customWidth="1"/>
    <col min="8" max="8" width="16.42578125" customWidth="1"/>
    <col min="9" max="9" width="15.5703125" bestFit="1" customWidth="1"/>
    <col min="11" max="11" width="12" hidden="1" customWidth="1"/>
    <col min="12" max="12" width="10.85546875" hidden="1" customWidth="1"/>
    <col min="13" max="17" width="0" hidden="1" customWidth="1"/>
  </cols>
  <sheetData>
    <row r="1" spans="1:9" ht="37.15" customHeight="1" x14ac:dyDescent="0.2">
      <c r="A1" s="321" t="s">
        <v>277</v>
      </c>
      <c r="B1" s="321"/>
      <c r="C1" s="321"/>
      <c r="D1" s="321"/>
      <c r="E1" s="321"/>
      <c r="F1" s="321"/>
      <c r="G1" s="321"/>
      <c r="H1" s="307" t="s">
        <v>63</v>
      </c>
      <c r="I1" s="307"/>
    </row>
    <row r="2" spans="1:9" ht="39" customHeight="1" x14ac:dyDescent="0.2">
      <c r="A2" s="120"/>
      <c r="B2" s="120"/>
      <c r="C2" s="143"/>
      <c r="D2" s="165"/>
      <c r="E2" s="120"/>
      <c r="F2" s="120"/>
      <c r="H2" s="308" t="s">
        <v>276</v>
      </c>
      <c r="I2" s="308"/>
    </row>
    <row r="3" spans="1:9" ht="14.25" customHeight="1" x14ac:dyDescent="0.2">
      <c r="A3" s="1"/>
      <c r="B3" s="2"/>
      <c r="C3" s="149"/>
      <c r="D3" s="149"/>
      <c r="E3" s="44"/>
      <c r="F3" s="44"/>
      <c r="G3" s="44"/>
    </row>
    <row r="4" spans="1:9" ht="51" customHeight="1" x14ac:dyDescent="0.2">
      <c r="A4" s="312" t="s">
        <v>322</v>
      </c>
      <c r="B4" s="312"/>
      <c r="C4" s="312"/>
      <c r="D4" s="312"/>
      <c r="E4" s="312"/>
      <c r="F4" s="312"/>
      <c r="G4" s="312"/>
      <c r="H4" s="312"/>
      <c r="I4" s="312"/>
    </row>
    <row r="5" spans="1:9" ht="14.25" customHeight="1" x14ac:dyDescent="0.2">
      <c r="A5" s="41"/>
      <c r="B5" s="41"/>
      <c r="C5" s="144"/>
      <c r="D5" s="142"/>
      <c r="E5" s="41"/>
      <c r="F5" s="41"/>
      <c r="G5" s="41"/>
    </row>
    <row r="6" spans="1:9" ht="21" customHeight="1" x14ac:dyDescent="0.2">
      <c r="A6" s="309" t="s">
        <v>4</v>
      </c>
      <c r="B6" s="318" t="s">
        <v>5</v>
      </c>
      <c r="C6" s="309" t="s">
        <v>272</v>
      </c>
      <c r="D6" s="309" t="s">
        <v>278</v>
      </c>
      <c r="E6" s="309" t="s">
        <v>279</v>
      </c>
      <c r="F6" s="315" t="s">
        <v>65</v>
      </c>
      <c r="G6" s="316"/>
      <c r="H6" s="316"/>
      <c r="I6" s="317"/>
    </row>
    <row r="7" spans="1:9" ht="33" customHeight="1" x14ac:dyDescent="0.2">
      <c r="A7" s="310"/>
      <c r="B7" s="319"/>
      <c r="C7" s="310"/>
      <c r="D7" s="310"/>
      <c r="E7" s="310"/>
      <c r="F7" s="315" t="s">
        <v>269</v>
      </c>
      <c r="G7" s="316"/>
      <c r="H7" s="313" t="s">
        <v>273</v>
      </c>
      <c r="I7" s="313" t="s">
        <v>280</v>
      </c>
    </row>
    <row r="8" spans="1:9" ht="22.9" customHeight="1" x14ac:dyDescent="0.2">
      <c r="A8" s="311"/>
      <c r="B8" s="320"/>
      <c r="C8" s="311"/>
      <c r="D8" s="311"/>
      <c r="E8" s="311"/>
      <c r="F8" s="135" t="s">
        <v>62</v>
      </c>
      <c r="G8" s="136" t="s">
        <v>3</v>
      </c>
      <c r="H8" s="314"/>
      <c r="I8" s="314"/>
    </row>
    <row r="9" spans="1:9" x14ac:dyDescent="0.2">
      <c r="A9" s="322" t="s">
        <v>6</v>
      </c>
      <c r="B9" s="323"/>
      <c r="C9" s="323"/>
      <c r="D9" s="323"/>
      <c r="E9" s="323"/>
      <c r="F9" s="323"/>
      <c r="G9" s="323"/>
      <c r="H9" s="323"/>
      <c r="I9" s="323"/>
    </row>
    <row r="10" spans="1:9" ht="39" x14ac:dyDescent="0.2">
      <c r="A10" s="47" t="s">
        <v>80</v>
      </c>
      <c r="B10" s="67" t="s">
        <v>7</v>
      </c>
      <c r="C10" s="156">
        <v>10849.06</v>
      </c>
      <c r="D10" s="42">
        <f>'Прил 5 Прогноз по поселениям'!C16</f>
        <v>11187.725329999999</v>
      </c>
      <c r="E10" s="42">
        <f>'Прил 5 Прогноз по поселениям'!D16</f>
        <v>11705.6</v>
      </c>
      <c r="F10" s="42">
        <f>'Прил 5 Прогноз по поселениям'!E16</f>
        <v>12049.3</v>
      </c>
      <c r="G10" s="263">
        <f>E10*103.9%</f>
        <v>12162.118400000001</v>
      </c>
      <c r="H10" s="42">
        <f>'Прил 5 Прогноз по поселениям'!F16</f>
        <v>12404.46</v>
      </c>
      <c r="I10" s="263">
        <f>'Прил 5 Прогноз по поселениям'!G16</f>
        <v>12537.24</v>
      </c>
    </row>
    <row r="11" spans="1:9" x14ac:dyDescent="0.2">
      <c r="A11" s="108" t="s">
        <v>8</v>
      </c>
      <c r="B11" s="77"/>
      <c r="C11" s="157"/>
      <c r="D11" s="164"/>
      <c r="E11" s="78"/>
      <c r="F11" s="78"/>
      <c r="G11" s="79"/>
      <c r="H11" s="78"/>
      <c r="I11" s="79"/>
    </row>
    <row r="12" spans="1:9" ht="37.5" x14ac:dyDescent="0.2">
      <c r="A12" s="81" t="s">
        <v>132</v>
      </c>
      <c r="B12" s="68" t="s">
        <v>7</v>
      </c>
      <c r="C12" s="264">
        <v>32.624000000000002</v>
      </c>
      <c r="D12" s="186">
        <v>20.356999999999999</v>
      </c>
      <c r="E12" s="186">
        <f>D12*101.5%</f>
        <v>20.662354999999998</v>
      </c>
      <c r="F12" s="186">
        <f>E12*100.8%</f>
        <v>20.827653839999996</v>
      </c>
      <c r="G12" s="186">
        <f>E12*101.8%</f>
        <v>21.03427739</v>
      </c>
      <c r="H12" s="186">
        <f>F12*100.9%</f>
        <v>21.015102724559998</v>
      </c>
      <c r="I12" s="186">
        <f>H12*101.2%</f>
        <v>21.267283957254719</v>
      </c>
    </row>
    <row r="13" spans="1:9" ht="37.5" x14ac:dyDescent="0.2">
      <c r="A13" s="82" t="s">
        <v>133</v>
      </c>
      <c r="B13" s="68" t="s">
        <v>7</v>
      </c>
      <c r="C13" s="264"/>
      <c r="D13" s="186"/>
      <c r="E13" s="186"/>
      <c r="F13" s="186"/>
      <c r="G13" s="186"/>
      <c r="H13" s="186"/>
      <c r="I13" s="186"/>
    </row>
    <row r="14" spans="1:9" x14ac:dyDescent="0.2">
      <c r="A14" s="83" t="s">
        <v>134</v>
      </c>
      <c r="B14" s="68" t="s">
        <v>7</v>
      </c>
      <c r="C14" s="264"/>
      <c r="D14" s="186"/>
      <c r="E14" s="186"/>
      <c r="F14" s="186"/>
      <c r="G14" s="186"/>
      <c r="H14" s="186"/>
      <c r="I14" s="186"/>
    </row>
    <row r="15" spans="1:9" x14ac:dyDescent="0.2">
      <c r="A15" s="83" t="s">
        <v>135</v>
      </c>
      <c r="B15" s="68" t="s">
        <v>7</v>
      </c>
      <c r="C15" s="264"/>
      <c r="D15" s="186"/>
      <c r="E15" s="186"/>
      <c r="F15" s="186"/>
      <c r="G15" s="186"/>
      <c r="H15" s="186"/>
      <c r="I15" s="186"/>
    </row>
    <row r="16" spans="1:9" x14ac:dyDescent="0.2">
      <c r="A16" s="83" t="s">
        <v>43</v>
      </c>
      <c r="B16" s="68" t="s">
        <v>7</v>
      </c>
      <c r="C16" s="264">
        <v>342.70190000000002</v>
      </c>
      <c r="D16" s="186">
        <v>355.72300000000001</v>
      </c>
      <c r="E16" s="186">
        <f>D16*102.8%</f>
        <v>365.683244</v>
      </c>
      <c r="F16" s="186">
        <f>E16*103.3%</f>
        <v>377.75079105199995</v>
      </c>
      <c r="G16" s="186">
        <v>377.75099999999998</v>
      </c>
      <c r="H16" s="186">
        <f>F16*103.9%</f>
        <v>392.48307190302802</v>
      </c>
      <c r="I16" s="186">
        <f>H16*104.3%</f>
        <v>409.35984399485818</v>
      </c>
    </row>
    <row r="17" spans="1:9" x14ac:dyDescent="0.2">
      <c r="A17" s="83" t="s">
        <v>44</v>
      </c>
      <c r="B17" s="68" t="s">
        <v>7</v>
      </c>
      <c r="C17" s="264">
        <v>756.48599999999999</v>
      </c>
      <c r="D17" s="186">
        <v>487.82100000000003</v>
      </c>
      <c r="E17" s="186">
        <f>D17*111%</f>
        <v>541.48131000000012</v>
      </c>
      <c r="F17" s="186">
        <f>E17*103%</f>
        <v>557.72574930000019</v>
      </c>
      <c r="G17" s="186">
        <v>557.726</v>
      </c>
      <c r="H17" s="186">
        <f>F17*104%</f>
        <v>580.03477927200026</v>
      </c>
      <c r="I17" s="186">
        <f>H17*104.2%</f>
        <v>604.3962400014243</v>
      </c>
    </row>
    <row r="18" spans="1:9" ht="40.5" customHeight="1" x14ac:dyDescent="0.2">
      <c r="A18" s="82" t="s">
        <v>136</v>
      </c>
      <c r="B18" s="68" t="s">
        <v>7</v>
      </c>
      <c r="C18" s="264">
        <v>569.25699999999995</v>
      </c>
      <c r="D18" s="186">
        <v>603.41200000000003</v>
      </c>
      <c r="E18" s="186">
        <f>D18*104%</f>
        <v>627.54848000000004</v>
      </c>
      <c r="F18" s="186">
        <f>E18*104%</f>
        <v>652.6504192000001</v>
      </c>
      <c r="G18" s="186">
        <v>652.65</v>
      </c>
      <c r="H18" s="186">
        <f>F18*104%</f>
        <v>678.75643596800012</v>
      </c>
      <c r="I18" s="186">
        <f>H18*104%</f>
        <v>705.90669340672014</v>
      </c>
    </row>
    <row r="19" spans="1:9" ht="37.5" customHeight="1" x14ac:dyDescent="0.2">
      <c r="A19" s="81" t="s">
        <v>137</v>
      </c>
      <c r="B19" s="68" t="s">
        <v>7</v>
      </c>
      <c r="C19" s="264">
        <v>76.957999999999998</v>
      </c>
      <c r="D19" s="186">
        <v>82.728999999999999</v>
      </c>
      <c r="E19" s="186">
        <f>D19*103.8%</f>
        <v>85.872702000000004</v>
      </c>
      <c r="F19" s="186">
        <f>E19*104%</f>
        <v>89.307610080000003</v>
      </c>
      <c r="G19" s="186">
        <v>89.308000000000007</v>
      </c>
      <c r="H19" s="186">
        <f>F19*104%</f>
        <v>92.879914483200011</v>
      </c>
      <c r="I19" s="186">
        <f>H19*104%</f>
        <v>96.595111062528019</v>
      </c>
    </row>
    <row r="20" spans="1:9" x14ac:dyDescent="0.2">
      <c r="A20" s="83" t="s">
        <v>13</v>
      </c>
      <c r="B20" s="68" t="s">
        <v>7</v>
      </c>
      <c r="C20" s="264">
        <v>1431.5930000000001</v>
      </c>
      <c r="D20" s="186">
        <v>1564.817</v>
      </c>
      <c r="E20" s="186">
        <f>D20*103.9%</f>
        <v>1625.8448630000003</v>
      </c>
      <c r="F20" s="186">
        <f>E20*104.3%</f>
        <v>1695.756192109</v>
      </c>
      <c r="G20" s="186">
        <v>1695.7560000000001</v>
      </c>
      <c r="H20" s="186">
        <f>F20*104.2%</f>
        <v>1766.9779521775781</v>
      </c>
      <c r="I20" s="186">
        <f>H20*104.2%</f>
        <v>1841.1910261690364</v>
      </c>
    </row>
    <row r="21" spans="1:9" ht="37.5" x14ac:dyDescent="0.2">
      <c r="A21" s="81" t="s">
        <v>138</v>
      </c>
      <c r="B21" s="68" t="s">
        <v>7</v>
      </c>
      <c r="C21" s="264">
        <v>4827.0439999999999</v>
      </c>
      <c r="D21" s="186">
        <v>5162.8149999999996</v>
      </c>
      <c r="E21" s="186">
        <v>5400.3</v>
      </c>
      <c r="F21" s="186">
        <v>5529.9</v>
      </c>
      <c r="G21" s="283">
        <f>E21*102.9%</f>
        <v>5556.9087000000009</v>
      </c>
      <c r="H21" s="186">
        <v>5657.1</v>
      </c>
      <c r="I21" s="186">
        <v>5787.2</v>
      </c>
    </row>
    <row r="22" spans="1:9" x14ac:dyDescent="0.2">
      <c r="A22" s="83" t="s">
        <v>168</v>
      </c>
      <c r="B22" s="68" t="s">
        <v>7</v>
      </c>
      <c r="C22" s="264">
        <v>1630.0329999999999</v>
      </c>
      <c r="D22" s="264">
        <v>1719.021</v>
      </c>
      <c r="E22" s="186">
        <f>D22*105.4%</f>
        <v>1811.8481340000001</v>
      </c>
      <c r="F22" s="186">
        <f>E22*103.9%</f>
        <v>1882.5102112260004</v>
      </c>
      <c r="G22" s="186">
        <f>E22*103.8%</f>
        <v>1880.6983630920001</v>
      </c>
      <c r="H22" s="186">
        <f>F22*104%</f>
        <v>1957.8106196750405</v>
      </c>
      <c r="I22" s="186">
        <f>H22*104%</f>
        <v>2036.1230444620421</v>
      </c>
    </row>
    <row r="23" spans="1:9" x14ac:dyDescent="0.2">
      <c r="A23" s="83" t="s">
        <v>169</v>
      </c>
      <c r="B23" s="68" t="s">
        <v>7</v>
      </c>
      <c r="C23" s="264">
        <v>34.149000000000001</v>
      </c>
      <c r="D23" s="264">
        <v>22.436</v>
      </c>
      <c r="E23" s="186">
        <f>D23*105.4%</f>
        <v>23.647544</v>
      </c>
      <c r="F23" s="186">
        <f>E23*103.9%</f>
        <v>24.569798216000002</v>
      </c>
      <c r="G23" s="186">
        <f>E23*103.8%</f>
        <v>24.546150672</v>
      </c>
      <c r="H23" s="186">
        <f>F23*104%</f>
        <v>25.552590144640003</v>
      </c>
      <c r="I23" s="186">
        <f>H23*104%</f>
        <v>26.574693750425606</v>
      </c>
    </row>
    <row r="24" spans="1:9" x14ac:dyDescent="0.2">
      <c r="A24" s="83" t="s">
        <v>49</v>
      </c>
      <c r="B24" s="68" t="s">
        <v>7</v>
      </c>
      <c r="C24" s="264">
        <f>C10-C12-C16-C17-C18-C19-C20-C21-C22-C23</f>
        <v>1148.2140999999992</v>
      </c>
      <c r="D24" s="264">
        <f>D10-D12-D16-D17-D18-D19-D20-D21-D22-D23</f>
        <v>1168.5943300000004</v>
      </c>
      <c r="E24" s="264">
        <f t="shared" ref="E24:I24" si="0">E10-E12-E16-E17-E18-E19-E20-E21-E22-E23</f>
        <v>1202.7113679999986</v>
      </c>
      <c r="F24" s="264">
        <f t="shared" si="0"/>
        <v>1218.3015749769991</v>
      </c>
      <c r="G24" s="264">
        <f>G10-G12-G16-G17-G18-G19-G20-G21-G22-G23</f>
        <v>1305.7399088460002</v>
      </c>
      <c r="H24" s="264">
        <f t="shared" si="0"/>
        <v>1231.8495336519527</v>
      </c>
      <c r="I24" s="264">
        <f t="shared" si="0"/>
        <v>1008.6260631957094</v>
      </c>
    </row>
    <row r="25" spans="1:9" ht="58.5" x14ac:dyDescent="0.2">
      <c r="A25" s="47" t="s">
        <v>81</v>
      </c>
      <c r="B25" s="68" t="s">
        <v>7</v>
      </c>
      <c r="C25" s="158">
        <v>1746.99</v>
      </c>
      <c r="D25" s="160">
        <v>1654.4079999999999</v>
      </c>
      <c r="E25" s="160">
        <v>1676.4</v>
      </c>
      <c r="F25" s="160">
        <v>1693.3</v>
      </c>
      <c r="G25" s="160">
        <v>1693.3</v>
      </c>
      <c r="H25" s="160">
        <v>1713.7</v>
      </c>
      <c r="I25" s="258">
        <v>1734.5</v>
      </c>
    </row>
    <row r="26" spans="1:9" ht="44.25" customHeight="1" x14ac:dyDescent="0.2">
      <c r="A26" s="105" t="s">
        <v>88</v>
      </c>
      <c r="B26" s="75" t="s">
        <v>7</v>
      </c>
      <c r="C26" s="159">
        <v>239.3</v>
      </c>
      <c r="D26" s="159">
        <v>384.6</v>
      </c>
      <c r="E26" s="159">
        <v>469.1</v>
      </c>
      <c r="F26" s="159">
        <v>454.6</v>
      </c>
      <c r="G26" s="281">
        <v>454.6</v>
      </c>
      <c r="H26" s="159">
        <v>458.85700000000003</v>
      </c>
      <c r="I26" s="281">
        <v>461.54199999999997</v>
      </c>
    </row>
    <row r="27" spans="1:9" x14ac:dyDescent="0.2">
      <c r="A27" s="324" t="s">
        <v>11</v>
      </c>
      <c r="B27" s="325"/>
      <c r="C27" s="325"/>
      <c r="D27" s="325"/>
      <c r="E27" s="325"/>
      <c r="F27" s="325"/>
      <c r="G27" s="325"/>
      <c r="H27" s="325"/>
      <c r="I27" s="326"/>
    </row>
    <row r="28" spans="1:9" x14ac:dyDescent="0.2">
      <c r="A28" s="106" t="s">
        <v>67</v>
      </c>
      <c r="B28" s="76"/>
      <c r="C28" s="150"/>
      <c r="D28" s="150"/>
      <c r="E28" s="76"/>
      <c r="F28" s="76"/>
      <c r="G28" s="76"/>
      <c r="H28" s="76"/>
      <c r="I28" s="76"/>
    </row>
    <row r="29" spans="1:9" ht="58.5" customHeight="1" x14ac:dyDescent="0.2">
      <c r="A29" s="86" t="s">
        <v>266</v>
      </c>
      <c r="B29" s="68" t="s">
        <v>7</v>
      </c>
      <c r="C29" s="151">
        <v>1745.4029</v>
      </c>
      <c r="D29" s="160">
        <v>1529.7</v>
      </c>
      <c r="E29" s="71">
        <f>E33</f>
        <v>1617.4420340000004</v>
      </c>
      <c r="F29" s="71">
        <f t="shared" ref="F29:I29" si="1">F33</f>
        <v>1670.8559595520003</v>
      </c>
      <c r="G29" s="71">
        <f t="shared" si="1"/>
        <v>1670.856</v>
      </c>
      <c r="H29" s="71">
        <f t="shared" si="1"/>
        <v>1734.0032871430283</v>
      </c>
      <c r="I29" s="71">
        <f t="shared" si="1"/>
        <v>1802.3917774030026</v>
      </c>
    </row>
    <row r="30" spans="1:9" x14ac:dyDescent="0.2">
      <c r="A30" s="86" t="s">
        <v>69</v>
      </c>
      <c r="B30" s="71" t="s">
        <v>9</v>
      </c>
      <c r="C30" s="151">
        <v>92.910497398263175</v>
      </c>
      <c r="D30" s="160">
        <v>94.2</v>
      </c>
      <c r="E30" s="291">
        <v>105.2</v>
      </c>
      <c r="F30" s="291">
        <v>103.03</v>
      </c>
      <c r="G30" s="291">
        <v>103.03</v>
      </c>
      <c r="H30" s="291">
        <v>103.32</v>
      </c>
      <c r="I30" s="291">
        <v>103.64</v>
      </c>
    </row>
    <row r="31" spans="1:9" x14ac:dyDescent="0.2">
      <c r="A31" s="87" t="s">
        <v>24</v>
      </c>
      <c r="B31" s="68"/>
      <c r="C31" s="151"/>
      <c r="D31" s="160"/>
      <c r="E31" s="71"/>
      <c r="F31" s="71"/>
      <c r="G31" s="71"/>
      <c r="H31" s="71"/>
      <c r="I31" s="71"/>
    </row>
    <row r="32" spans="1:9" x14ac:dyDescent="0.2">
      <c r="A32" s="85" t="s">
        <v>139</v>
      </c>
      <c r="B32" s="68"/>
      <c r="C32" s="152"/>
      <c r="D32" s="153"/>
      <c r="E32" s="69"/>
      <c r="F32" s="69"/>
      <c r="G32" s="72"/>
      <c r="H32" s="69"/>
      <c r="I32" s="72"/>
    </row>
    <row r="33" spans="1:9" ht="37.5" x14ac:dyDescent="0.2">
      <c r="A33" s="88" t="s">
        <v>140</v>
      </c>
      <c r="B33" s="68" t="s">
        <v>7</v>
      </c>
      <c r="C33" s="152">
        <v>1745.4029</v>
      </c>
      <c r="D33" s="154">
        <v>1529.7</v>
      </c>
      <c r="E33" s="154">
        <f>E36+E39+E42+E45</f>
        <v>1617.4420340000004</v>
      </c>
      <c r="F33" s="154">
        <f t="shared" ref="F33:I33" si="2">F36+F39+F42+F45</f>
        <v>1670.8559595520003</v>
      </c>
      <c r="G33" s="154">
        <f t="shared" si="2"/>
        <v>1670.856</v>
      </c>
      <c r="H33" s="154">
        <f t="shared" si="2"/>
        <v>1734.0032871430283</v>
      </c>
      <c r="I33" s="154">
        <f t="shared" si="2"/>
        <v>1802.3917774030026</v>
      </c>
    </row>
    <row r="34" spans="1:9" x14ac:dyDescent="0.2">
      <c r="A34" s="88" t="s">
        <v>268</v>
      </c>
      <c r="B34" s="68" t="s">
        <v>9</v>
      </c>
      <c r="C34" s="152">
        <v>92.910497398263175</v>
      </c>
      <c r="D34" s="154">
        <v>94.2</v>
      </c>
      <c r="E34" s="247">
        <v>105.2</v>
      </c>
      <c r="F34" s="247">
        <v>103.03</v>
      </c>
      <c r="G34" s="247">
        <v>103.03</v>
      </c>
      <c r="H34" s="247">
        <v>103.32</v>
      </c>
      <c r="I34" s="247">
        <v>103.64</v>
      </c>
    </row>
    <row r="35" spans="1:9" x14ac:dyDescent="0.2">
      <c r="A35" s="85" t="s">
        <v>141</v>
      </c>
      <c r="B35" s="68"/>
      <c r="C35" s="152"/>
      <c r="D35" s="154"/>
      <c r="E35" s="154"/>
      <c r="F35" s="154"/>
      <c r="G35" s="282"/>
      <c r="H35" s="154"/>
      <c r="I35" s="282"/>
    </row>
    <row r="36" spans="1:9" ht="37.5" x14ac:dyDescent="0.2">
      <c r="A36" s="88" t="s">
        <v>142</v>
      </c>
      <c r="B36" s="68" t="s">
        <v>7</v>
      </c>
      <c r="C36" s="152">
        <v>342.70190000000002</v>
      </c>
      <c r="D36" s="154">
        <v>355.7</v>
      </c>
      <c r="E36" s="186">
        <f>E16</f>
        <v>365.683244</v>
      </c>
      <c r="F36" s="186">
        <f t="shared" ref="F36:I36" si="3">F16</f>
        <v>377.75079105199995</v>
      </c>
      <c r="G36" s="186">
        <f t="shared" si="3"/>
        <v>377.75099999999998</v>
      </c>
      <c r="H36" s="186">
        <f t="shared" si="3"/>
        <v>392.48307190302802</v>
      </c>
      <c r="I36" s="186">
        <f t="shared" si="3"/>
        <v>409.35984399485818</v>
      </c>
    </row>
    <row r="37" spans="1:9" x14ac:dyDescent="0.2">
      <c r="A37" s="88" t="s">
        <v>0</v>
      </c>
      <c r="B37" s="68" t="s">
        <v>9</v>
      </c>
      <c r="C37" s="152">
        <v>92.854538547245483</v>
      </c>
      <c r="D37" s="247">
        <v>93.8</v>
      </c>
      <c r="E37" s="247">
        <v>102.8</v>
      </c>
      <c r="F37" s="247">
        <v>103.3</v>
      </c>
      <c r="G37" s="247">
        <v>103.9</v>
      </c>
      <c r="H37" s="247">
        <v>103.9</v>
      </c>
      <c r="I37" s="247">
        <v>104.3</v>
      </c>
    </row>
    <row r="38" spans="1:9" ht="37.5" customHeight="1" x14ac:dyDescent="0.2">
      <c r="A38" s="85" t="s">
        <v>143</v>
      </c>
      <c r="B38" s="68"/>
      <c r="C38" s="152"/>
      <c r="D38" s="154"/>
      <c r="E38" s="154"/>
      <c r="F38" s="154"/>
      <c r="G38" s="282"/>
      <c r="H38" s="154"/>
      <c r="I38" s="282"/>
    </row>
    <row r="39" spans="1:9" ht="37.5" x14ac:dyDescent="0.2">
      <c r="A39" s="88" t="s">
        <v>142</v>
      </c>
      <c r="B39" s="68" t="s">
        <v>7</v>
      </c>
      <c r="C39" s="152">
        <v>756.48599999999999</v>
      </c>
      <c r="D39" s="154">
        <v>487.8</v>
      </c>
      <c r="E39" s="186">
        <f>E17</f>
        <v>541.48131000000012</v>
      </c>
      <c r="F39" s="186">
        <f t="shared" ref="F39:H39" si="4">F17</f>
        <v>557.72574930000019</v>
      </c>
      <c r="G39" s="186">
        <f t="shared" si="4"/>
        <v>557.726</v>
      </c>
      <c r="H39" s="186">
        <f t="shared" si="4"/>
        <v>580.03477927200026</v>
      </c>
      <c r="I39" s="186">
        <f>I17</f>
        <v>604.3962400014243</v>
      </c>
    </row>
    <row r="40" spans="1:9" x14ac:dyDescent="0.2">
      <c r="A40" s="88" t="s">
        <v>0</v>
      </c>
      <c r="B40" s="68" t="s">
        <v>9</v>
      </c>
      <c r="C40" s="152">
        <v>98.4</v>
      </c>
      <c r="D40" s="154">
        <v>70</v>
      </c>
      <c r="E40" s="247">
        <v>132.30000000000001</v>
      </c>
      <c r="F40" s="247">
        <v>101.2</v>
      </c>
      <c r="G40" s="247">
        <v>101.2</v>
      </c>
      <c r="H40" s="247">
        <v>101.2</v>
      </c>
      <c r="I40" s="247">
        <v>100</v>
      </c>
    </row>
    <row r="41" spans="1:9" ht="37.5" x14ac:dyDescent="0.2">
      <c r="A41" s="127" t="s">
        <v>144</v>
      </c>
      <c r="B41" s="68"/>
      <c r="C41" s="152"/>
      <c r="D41" s="154"/>
      <c r="E41" s="154"/>
      <c r="F41" s="240"/>
      <c r="G41" s="282"/>
      <c r="H41" s="240"/>
      <c r="I41" s="282"/>
    </row>
    <row r="42" spans="1:9" ht="37.5" x14ac:dyDescent="0.2">
      <c r="A42" s="88" t="s">
        <v>145</v>
      </c>
      <c r="B42" s="68" t="s">
        <v>7</v>
      </c>
      <c r="C42" s="152">
        <v>569.25699999999995</v>
      </c>
      <c r="D42" s="154">
        <v>603.4</v>
      </c>
      <c r="E42" s="186">
        <f>E18</f>
        <v>627.54848000000004</v>
      </c>
      <c r="F42" s="186">
        <f t="shared" ref="F42:I42" si="5">F18</f>
        <v>652.6504192000001</v>
      </c>
      <c r="G42" s="186">
        <f t="shared" si="5"/>
        <v>652.65</v>
      </c>
      <c r="H42" s="186">
        <f t="shared" si="5"/>
        <v>678.75643596800012</v>
      </c>
      <c r="I42" s="186">
        <f t="shared" si="5"/>
        <v>705.90669340672014</v>
      </c>
    </row>
    <row r="43" spans="1:9" x14ac:dyDescent="0.2">
      <c r="A43" s="88" t="s">
        <v>0</v>
      </c>
      <c r="B43" s="68" t="s">
        <v>9</v>
      </c>
      <c r="C43" s="152">
        <v>91.742282006666883</v>
      </c>
      <c r="D43" s="154">
        <v>100.72</v>
      </c>
      <c r="E43" s="247">
        <v>109.64</v>
      </c>
      <c r="F43" s="290">
        <v>102.45</v>
      </c>
      <c r="G43" s="247">
        <v>102.45</v>
      </c>
      <c r="H43" s="290">
        <v>101.78</v>
      </c>
      <c r="I43" s="247">
        <v>102.04</v>
      </c>
    </row>
    <row r="44" spans="1:9" ht="56.25" x14ac:dyDescent="0.2">
      <c r="A44" s="127" t="s">
        <v>146</v>
      </c>
      <c r="B44" s="68"/>
      <c r="C44" s="153"/>
      <c r="D44" s="154"/>
      <c r="E44" s="69"/>
      <c r="F44" s="90"/>
      <c r="G44" s="72"/>
      <c r="H44" s="90"/>
      <c r="I44" s="72"/>
    </row>
    <row r="45" spans="1:9" ht="37.5" x14ac:dyDescent="0.2">
      <c r="A45" s="88" t="s">
        <v>145</v>
      </c>
      <c r="B45" s="68" t="s">
        <v>7</v>
      </c>
      <c r="C45" s="154">
        <v>76.957999999999998</v>
      </c>
      <c r="D45" s="154">
        <v>82.728999999999999</v>
      </c>
      <c r="E45" s="154">
        <v>82.728999999999999</v>
      </c>
      <c r="F45" s="154">
        <v>82.728999999999999</v>
      </c>
      <c r="G45" s="154">
        <v>82.728999999999999</v>
      </c>
      <c r="H45" s="154">
        <v>82.728999999999999</v>
      </c>
      <c r="I45" s="154">
        <v>82.728999999999999</v>
      </c>
    </row>
    <row r="46" spans="1:9" ht="37.5" x14ac:dyDescent="0.2">
      <c r="A46" s="89" t="s">
        <v>147</v>
      </c>
      <c r="B46" s="73"/>
      <c r="C46" s="154"/>
      <c r="D46" s="153"/>
      <c r="E46" s="69"/>
      <c r="F46" s="90"/>
      <c r="G46" s="69"/>
      <c r="H46" s="90"/>
      <c r="I46" s="69"/>
    </row>
    <row r="47" spans="1:9" x14ac:dyDescent="0.2">
      <c r="A47" s="91" t="s">
        <v>12</v>
      </c>
      <c r="B47" s="68" t="s">
        <v>7</v>
      </c>
      <c r="C47" s="154"/>
      <c r="D47" s="153"/>
      <c r="E47" s="69"/>
      <c r="F47" s="69"/>
      <c r="G47" s="70"/>
      <c r="H47" s="69"/>
      <c r="I47" s="70"/>
    </row>
    <row r="48" spans="1:9" x14ac:dyDescent="0.2">
      <c r="A48" s="91" t="s">
        <v>148</v>
      </c>
      <c r="B48" s="68" t="s">
        <v>9</v>
      </c>
      <c r="C48" s="154"/>
      <c r="D48" s="153"/>
      <c r="E48" s="69"/>
      <c r="F48" s="69"/>
      <c r="G48" s="72"/>
      <c r="H48" s="69"/>
      <c r="I48" s="72"/>
    </row>
    <row r="49" spans="1:9" x14ac:dyDescent="0.2">
      <c r="A49" s="92" t="s">
        <v>149</v>
      </c>
      <c r="B49" s="73"/>
      <c r="C49" s="154"/>
      <c r="D49" s="153"/>
      <c r="E49" s="69"/>
      <c r="F49" s="90"/>
      <c r="G49" s="69"/>
      <c r="H49" s="90"/>
      <c r="I49" s="69"/>
    </row>
    <row r="50" spans="1:9" x14ac:dyDescent="0.2">
      <c r="A50" s="93" t="s">
        <v>150</v>
      </c>
      <c r="B50" s="68" t="s">
        <v>7</v>
      </c>
      <c r="C50" s="154">
        <v>1717.912</v>
      </c>
      <c r="D50" s="247">
        <v>1564.8</v>
      </c>
      <c r="E50" s="152">
        <v>1625.8448630000003</v>
      </c>
      <c r="F50" s="152">
        <v>1695.756192109</v>
      </c>
      <c r="G50" s="279">
        <v>1695.76</v>
      </c>
      <c r="H50" s="152">
        <v>1766.9779521775781</v>
      </c>
      <c r="I50" s="272">
        <v>1841.1910261690364</v>
      </c>
    </row>
    <row r="51" spans="1:9" x14ac:dyDescent="0.2">
      <c r="A51" s="93" t="s">
        <v>14</v>
      </c>
      <c r="B51" s="68" t="s">
        <v>15</v>
      </c>
      <c r="C51" s="154">
        <v>7307</v>
      </c>
      <c r="D51" s="154">
        <v>9993</v>
      </c>
      <c r="E51" s="154">
        <v>9993</v>
      </c>
      <c r="F51" s="154">
        <v>9993</v>
      </c>
      <c r="G51" s="154">
        <v>9993</v>
      </c>
      <c r="H51" s="154">
        <v>9993</v>
      </c>
      <c r="I51" s="154">
        <v>9993</v>
      </c>
    </row>
    <row r="52" spans="1:9" x14ac:dyDescent="0.2">
      <c r="A52" s="93" t="s">
        <v>16</v>
      </c>
      <c r="B52" s="68" t="s">
        <v>15</v>
      </c>
      <c r="C52" s="154">
        <v>0.19</v>
      </c>
      <c r="D52" s="154">
        <v>0.25559999999999999</v>
      </c>
      <c r="E52" s="154">
        <v>0.25559999999999999</v>
      </c>
      <c r="F52" s="154">
        <v>0.25559999999999999</v>
      </c>
      <c r="G52" s="154">
        <v>0.25559999999999999</v>
      </c>
      <c r="H52" s="154">
        <v>0.25559999999999999</v>
      </c>
      <c r="I52" s="154">
        <v>0.25559999999999999</v>
      </c>
    </row>
    <row r="53" spans="1:9" x14ac:dyDescent="0.2">
      <c r="A53" s="92" t="s">
        <v>151</v>
      </c>
      <c r="B53" s="73"/>
      <c r="C53" s="154"/>
      <c r="D53" s="154"/>
      <c r="E53" s="69"/>
      <c r="F53" s="90"/>
      <c r="G53" s="72"/>
      <c r="H53" s="90"/>
      <c r="I53" s="72"/>
    </row>
    <row r="54" spans="1:9" x14ac:dyDescent="0.2">
      <c r="A54" s="93" t="s">
        <v>152</v>
      </c>
      <c r="B54" s="68" t="s">
        <v>153</v>
      </c>
      <c r="C54" s="154">
        <v>70816.800000000003</v>
      </c>
      <c r="D54" s="154">
        <v>72757.3</v>
      </c>
      <c r="E54" s="154">
        <v>72757.3</v>
      </c>
      <c r="F54" s="154">
        <v>72757.3</v>
      </c>
      <c r="G54" s="154">
        <v>72757.3</v>
      </c>
      <c r="H54" s="154">
        <v>72757.3</v>
      </c>
      <c r="I54" s="154">
        <v>72757.3</v>
      </c>
    </row>
    <row r="55" spans="1:9" x14ac:dyDescent="0.2">
      <c r="A55" s="93" t="s">
        <v>154</v>
      </c>
      <c r="B55" s="68" t="s">
        <v>155</v>
      </c>
      <c r="C55" s="154">
        <v>4006.32</v>
      </c>
      <c r="D55" s="154">
        <v>5273.7</v>
      </c>
      <c r="E55" s="154">
        <v>5273.7</v>
      </c>
      <c r="F55" s="154">
        <v>5273.7</v>
      </c>
      <c r="G55" s="154">
        <v>5273.7</v>
      </c>
      <c r="H55" s="154">
        <v>5273.7</v>
      </c>
      <c r="I55" s="154">
        <v>5273.7</v>
      </c>
    </row>
    <row r="56" spans="1:9" ht="37.5" x14ac:dyDescent="0.2">
      <c r="A56" s="92" t="s">
        <v>156</v>
      </c>
      <c r="B56" s="68"/>
      <c r="C56" s="154"/>
      <c r="D56" s="154"/>
      <c r="E56" s="69"/>
      <c r="F56" s="69"/>
      <c r="G56" s="72"/>
      <c r="H56" s="69"/>
      <c r="I56" s="72"/>
    </row>
    <row r="57" spans="1:9" x14ac:dyDescent="0.2">
      <c r="A57" s="93" t="s">
        <v>18</v>
      </c>
      <c r="B57" s="68" t="s">
        <v>7</v>
      </c>
      <c r="C57" s="154">
        <v>4827.0439999999999</v>
      </c>
      <c r="D57" s="154">
        <v>5162.8149999999996</v>
      </c>
      <c r="E57" s="273">
        <v>5400.3</v>
      </c>
      <c r="F57" s="273">
        <v>5529.9</v>
      </c>
      <c r="G57" s="283">
        <f>E57*102.9%</f>
        <v>5556.9087000000009</v>
      </c>
      <c r="H57" s="273">
        <v>5657.1</v>
      </c>
      <c r="I57" s="273">
        <v>5787.2</v>
      </c>
    </row>
    <row r="58" spans="1:9" x14ac:dyDescent="0.2">
      <c r="A58" s="93" t="s">
        <v>19</v>
      </c>
      <c r="B58" s="68" t="s">
        <v>9</v>
      </c>
      <c r="C58" s="153"/>
      <c r="D58" s="154"/>
      <c r="E58" s="69"/>
      <c r="F58" s="69"/>
      <c r="G58" s="72"/>
      <c r="H58" s="69"/>
      <c r="I58" s="72"/>
    </row>
    <row r="59" spans="1:9" x14ac:dyDescent="0.2">
      <c r="A59" s="89" t="s">
        <v>20</v>
      </c>
      <c r="B59" s="73"/>
      <c r="C59" s="153"/>
      <c r="D59" s="154"/>
      <c r="E59" s="69"/>
      <c r="F59" s="69"/>
      <c r="G59" s="72"/>
      <c r="H59" s="69"/>
      <c r="I59" s="72"/>
    </row>
    <row r="60" spans="1:9" x14ac:dyDescent="0.2">
      <c r="A60" s="91" t="s">
        <v>157</v>
      </c>
      <c r="B60" s="68" t="s">
        <v>21</v>
      </c>
      <c r="C60" s="154">
        <v>312</v>
      </c>
      <c r="D60" s="154">
        <v>279</v>
      </c>
      <c r="E60" s="154">
        <v>282</v>
      </c>
      <c r="F60" s="154">
        <v>282</v>
      </c>
      <c r="G60" s="154">
        <v>282</v>
      </c>
      <c r="H60" s="154">
        <v>282</v>
      </c>
      <c r="I60" s="154">
        <v>282</v>
      </c>
    </row>
    <row r="61" spans="1:9" x14ac:dyDescent="0.2">
      <c r="A61" s="91" t="s">
        <v>68</v>
      </c>
      <c r="B61" s="68"/>
      <c r="C61" s="154"/>
      <c r="D61" s="154"/>
      <c r="E61" s="154"/>
      <c r="F61" s="69"/>
      <c r="G61" s="74"/>
      <c r="H61" s="69"/>
      <c r="I61" s="74"/>
    </row>
    <row r="62" spans="1:9" ht="37.5" x14ac:dyDescent="0.2">
      <c r="A62" s="91" t="s">
        <v>267</v>
      </c>
      <c r="B62" s="68" t="s">
        <v>21</v>
      </c>
      <c r="C62" s="154">
        <v>14</v>
      </c>
      <c r="D62" s="247">
        <v>10</v>
      </c>
      <c r="E62" s="154">
        <v>12</v>
      </c>
      <c r="F62" s="154">
        <v>12</v>
      </c>
      <c r="G62" s="154">
        <v>12</v>
      </c>
      <c r="H62" s="154">
        <v>12</v>
      </c>
      <c r="I62" s="154">
        <v>12</v>
      </c>
    </row>
    <row r="63" spans="1:9" ht="37.5" x14ac:dyDescent="0.2">
      <c r="A63" s="91" t="s">
        <v>133</v>
      </c>
      <c r="B63" s="68" t="s">
        <v>21</v>
      </c>
      <c r="C63" s="154"/>
      <c r="D63" s="247"/>
      <c r="E63" s="154"/>
      <c r="F63" s="69"/>
      <c r="G63" s="74"/>
      <c r="H63" s="69"/>
      <c r="I63" s="74"/>
    </row>
    <row r="64" spans="1:9" x14ac:dyDescent="0.2">
      <c r="A64" s="91" t="s">
        <v>134</v>
      </c>
      <c r="B64" s="68" t="s">
        <v>21</v>
      </c>
      <c r="C64" s="154"/>
      <c r="D64" s="247"/>
      <c r="E64" s="154"/>
      <c r="F64" s="69"/>
      <c r="G64" s="74"/>
      <c r="H64" s="69"/>
      <c r="I64" s="74"/>
    </row>
    <row r="65" spans="1:9" x14ac:dyDescent="0.2">
      <c r="A65" s="91" t="s">
        <v>135</v>
      </c>
      <c r="B65" s="68" t="s">
        <v>21</v>
      </c>
      <c r="C65" s="154"/>
      <c r="D65" s="247"/>
      <c r="E65" s="154"/>
      <c r="F65" s="69"/>
      <c r="G65" s="74"/>
      <c r="H65" s="69"/>
      <c r="I65" s="74"/>
    </row>
    <row r="66" spans="1:9" ht="20.25" customHeight="1" x14ac:dyDescent="0.2">
      <c r="A66" s="91" t="s">
        <v>43</v>
      </c>
      <c r="B66" s="68" t="s">
        <v>21</v>
      </c>
      <c r="C66" s="154">
        <v>4</v>
      </c>
      <c r="D66" s="247">
        <v>4</v>
      </c>
      <c r="E66" s="154">
        <v>4</v>
      </c>
      <c r="F66" s="154">
        <v>4</v>
      </c>
      <c r="G66" s="154">
        <v>4</v>
      </c>
      <c r="H66" s="154">
        <v>4</v>
      </c>
      <c r="I66" s="154">
        <v>4</v>
      </c>
    </row>
    <row r="67" spans="1:9" x14ac:dyDescent="0.2">
      <c r="A67" s="91" t="s">
        <v>44</v>
      </c>
      <c r="B67" s="68" t="s">
        <v>21</v>
      </c>
      <c r="C67" s="154">
        <v>24</v>
      </c>
      <c r="D67" s="247">
        <v>22</v>
      </c>
      <c r="E67" s="154">
        <v>24</v>
      </c>
      <c r="F67" s="154">
        <v>24</v>
      </c>
      <c r="G67" s="154">
        <v>24</v>
      </c>
      <c r="H67" s="154">
        <v>24</v>
      </c>
      <c r="I67" s="154">
        <v>24</v>
      </c>
    </row>
    <row r="68" spans="1:9" ht="37.5" x14ac:dyDescent="0.2">
      <c r="A68" s="91" t="s">
        <v>136</v>
      </c>
      <c r="B68" s="68" t="s">
        <v>21</v>
      </c>
      <c r="C68" s="154">
        <v>4</v>
      </c>
      <c r="D68" s="247">
        <v>4</v>
      </c>
      <c r="E68" s="154">
        <v>4</v>
      </c>
      <c r="F68" s="154">
        <v>4</v>
      </c>
      <c r="G68" s="154">
        <v>4</v>
      </c>
      <c r="H68" s="154">
        <v>4</v>
      </c>
      <c r="I68" s="154">
        <v>4</v>
      </c>
    </row>
    <row r="69" spans="1:9" ht="56.25" x14ac:dyDescent="0.2">
      <c r="A69" s="91" t="s">
        <v>137</v>
      </c>
      <c r="B69" s="68" t="s">
        <v>21</v>
      </c>
      <c r="C69" s="154">
        <v>5</v>
      </c>
      <c r="D69" s="247">
        <v>4</v>
      </c>
      <c r="E69" s="154">
        <v>4</v>
      </c>
      <c r="F69" s="154">
        <v>4</v>
      </c>
      <c r="G69" s="154">
        <v>4</v>
      </c>
      <c r="H69" s="154">
        <v>4</v>
      </c>
      <c r="I69" s="154">
        <v>4</v>
      </c>
    </row>
    <row r="70" spans="1:9" x14ac:dyDescent="0.2">
      <c r="A70" s="91" t="s">
        <v>13</v>
      </c>
      <c r="B70" s="68" t="s">
        <v>21</v>
      </c>
      <c r="C70" s="154">
        <v>30</v>
      </c>
      <c r="D70" s="247">
        <v>24</v>
      </c>
      <c r="E70" s="154">
        <v>26</v>
      </c>
      <c r="F70" s="154">
        <v>26</v>
      </c>
      <c r="G70" s="154">
        <v>26</v>
      </c>
      <c r="H70" s="154">
        <v>26</v>
      </c>
      <c r="I70" s="154">
        <v>26</v>
      </c>
    </row>
    <row r="71" spans="1:9" ht="37.5" x14ac:dyDescent="0.2">
      <c r="A71" s="91" t="s">
        <v>138</v>
      </c>
      <c r="B71" s="68" t="s">
        <v>21</v>
      </c>
      <c r="C71" s="154">
        <v>84</v>
      </c>
      <c r="D71" s="247">
        <v>70</v>
      </c>
      <c r="E71" s="154">
        <v>64</v>
      </c>
      <c r="F71" s="154">
        <v>64</v>
      </c>
      <c r="G71" s="154">
        <v>64</v>
      </c>
      <c r="H71" s="154">
        <v>64</v>
      </c>
      <c r="I71" s="154">
        <v>64</v>
      </c>
    </row>
    <row r="72" spans="1:9" x14ac:dyDescent="0.2">
      <c r="A72" s="83" t="s">
        <v>168</v>
      </c>
      <c r="B72" s="68" t="s">
        <v>21</v>
      </c>
      <c r="C72" s="154">
        <v>38</v>
      </c>
      <c r="D72" s="247">
        <v>39</v>
      </c>
      <c r="E72" s="154">
        <v>40</v>
      </c>
      <c r="F72" s="154">
        <v>40</v>
      </c>
      <c r="G72" s="154">
        <v>40</v>
      </c>
      <c r="H72" s="154">
        <v>40</v>
      </c>
      <c r="I72" s="154">
        <v>40</v>
      </c>
    </row>
    <row r="73" spans="1:9" x14ac:dyDescent="0.2">
      <c r="A73" s="83" t="s">
        <v>169</v>
      </c>
      <c r="B73" s="68" t="s">
        <v>21</v>
      </c>
      <c r="C73" s="154">
        <v>7</v>
      </c>
      <c r="D73" s="247">
        <v>7</v>
      </c>
      <c r="E73" s="154">
        <v>28</v>
      </c>
      <c r="F73" s="154">
        <v>28</v>
      </c>
      <c r="G73" s="154">
        <v>28</v>
      </c>
      <c r="H73" s="154">
        <v>28</v>
      </c>
      <c r="I73" s="154">
        <v>28</v>
      </c>
    </row>
    <row r="74" spans="1:9" x14ac:dyDescent="0.2">
      <c r="A74" s="91" t="s">
        <v>49</v>
      </c>
      <c r="B74" s="68" t="s">
        <v>21</v>
      </c>
      <c r="C74" s="154">
        <v>102</v>
      </c>
      <c r="D74" s="247">
        <f>D60-D62-D66-D67-D68-D69-D70-D71-D72-D73</f>
        <v>95</v>
      </c>
      <c r="E74" s="247">
        <f>E60-E62-E66-E67-E68-E69-E70-E71-E72-E73</f>
        <v>76</v>
      </c>
      <c r="F74" s="247">
        <f t="shared" ref="F74:I74" si="6">F60-F62-F66-F67-F68-F69-F70-F71-F72-F73</f>
        <v>76</v>
      </c>
      <c r="G74" s="247">
        <f t="shared" si="6"/>
        <v>76</v>
      </c>
      <c r="H74" s="247">
        <f t="shared" si="6"/>
        <v>76</v>
      </c>
      <c r="I74" s="247">
        <f t="shared" si="6"/>
        <v>76</v>
      </c>
    </row>
    <row r="75" spans="1:9" ht="37.5" x14ac:dyDescent="0.2">
      <c r="A75" s="138" t="s">
        <v>74</v>
      </c>
      <c r="B75" s="68" t="s">
        <v>9</v>
      </c>
      <c r="C75" s="152">
        <v>16.102685393942</v>
      </c>
      <c r="D75" s="279">
        <f>D25/D10*100</f>
        <v>14.787706626687447</v>
      </c>
      <c r="E75" s="279">
        <f t="shared" ref="E75:I75" si="7">E25/E10*100</f>
        <v>14.321350464734827</v>
      </c>
      <c r="F75" s="279">
        <f t="shared" si="7"/>
        <v>14.053098520245991</v>
      </c>
      <c r="G75" s="279">
        <f>G25/G10*100</f>
        <v>13.922738985997702</v>
      </c>
      <c r="H75" s="279">
        <f t="shared" si="7"/>
        <v>13.815192277616278</v>
      </c>
      <c r="I75" s="279">
        <f t="shared" si="7"/>
        <v>13.834783413255231</v>
      </c>
    </row>
    <row r="76" spans="1:9" ht="19.5" x14ac:dyDescent="0.2">
      <c r="A76" s="115" t="s">
        <v>72</v>
      </c>
      <c r="B76" s="68" t="s">
        <v>21</v>
      </c>
      <c r="C76" s="160">
        <v>292</v>
      </c>
      <c r="D76" s="275">
        <v>266</v>
      </c>
      <c r="E76" s="160">
        <v>269</v>
      </c>
      <c r="F76" s="160">
        <v>269</v>
      </c>
      <c r="G76" s="160">
        <v>269</v>
      </c>
      <c r="H76" s="160">
        <v>269</v>
      </c>
      <c r="I76" s="160">
        <v>269</v>
      </c>
    </row>
    <row r="77" spans="1:9" ht="37.5" x14ac:dyDescent="0.2">
      <c r="A77" s="91" t="s">
        <v>82</v>
      </c>
      <c r="B77" s="68"/>
      <c r="C77" s="153"/>
      <c r="D77" s="153"/>
      <c r="E77" s="153"/>
      <c r="F77" s="153"/>
      <c r="G77" s="153"/>
      <c r="H77" s="153"/>
      <c r="I77" s="153"/>
    </row>
    <row r="78" spans="1:9" x14ac:dyDescent="0.2">
      <c r="A78" s="91" t="s">
        <v>66</v>
      </c>
      <c r="B78" s="68" t="s">
        <v>21</v>
      </c>
      <c r="C78" s="154">
        <v>769</v>
      </c>
      <c r="D78" s="154">
        <v>759</v>
      </c>
      <c r="E78" s="154">
        <v>745</v>
      </c>
      <c r="F78" s="154">
        <v>745</v>
      </c>
      <c r="G78" s="154">
        <v>745</v>
      </c>
      <c r="H78" s="154">
        <v>745</v>
      </c>
      <c r="I78" s="154">
        <v>745</v>
      </c>
    </row>
    <row r="79" spans="1:9" ht="39" x14ac:dyDescent="0.2">
      <c r="A79" s="107" t="s">
        <v>1</v>
      </c>
      <c r="B79" s="75" t="s">
        <v>7</v>
      </c>
      <c r="C79" s="161">
        <v>493.16199999999998</v>
      </c>
      <c r="D79" s="161">
        <v>895.46400000000006</v>
      </c>
      <c r="E79" s="271">
        <f>D79*103.1%</f>
        <v>923.22338400000001</v>
      </c>
      <c r="F79" s="271">
        <f>E79*104.1%</f>
        <v>961.0755427439999</v>
      </c>
      <c r="G79" s="281">
        <f>E79*105.3%</f>
        <v>972.15422335199992</v>
      </c>
      <c r="H79" s="270">
        <f>F79*104%</f>
        <v>999.51856445375995</v>
      </c>
      <c r="I79" s="269">
        <f>H79*104.2%</f>
        <v>1041.4983441608179</v>
      </c>
    </row>
    <row r="80" spans="1:9" x14ac:dyDescent="0.2">
      <c r="A80" s="324" t="s">
        <v>84</v>
      </c>
      <c r="B80" s="325"/>
      <c r="C80" s="325"/>
      <c r="D80" s="325"/>
      <c r="E80" s="325"/>
      <c r="F80" s="325"/>
      <c r="G80" s="325"/>
      <c r="H80" s="325"/>
      <c r="I80" s="326"/>
    </row>
    <row r="81" spans="1:15" ht="19.5" x14ac:dyDescent="0.2">
      <c r="A81" s="104" t="s">
        <v>85</v>
      </c>
      <c r="B81" s="77" t="s">
        <v>23</v>
      </c>
      <c r="C81" s="150">
        <v>39.097000000000001</v>
      </c>
      <c r="D81" s="150">
        <v>38.994999999999997</v>
      </c>
      <c r="E81" s="150">
        <v>38.994999999999997</v>
      </c>
      <c r="F81" s="150">
        <v>38.994999999999997</v>
      </c>
      <c r="G81" s="150">
        <v>38.994999999999997</v>
      </c>
      <c r="H81" s="150">
        <v>38.994999999999997</v>
      </c>
      <c r="I81" s="150">
        <v>38.994999999999997</v>
      </c>
      <c r="M81" t="s">
        <v>318</v>
      </c>
      <c r="O81" t="s">
        <v>319</v>
      </c>
    </row>
    <row r="82" spans="1:15" ht="39" x14ac:dyDescent="0.25">
      <c r="A82" s="104" t="s">
        <v>76</v>
      </c>
      <c r="B82" s="77" t="s">
        <v>23</v>
      </c>
      <c r="C82" s="150">
        <v>13.127000000000001</v>
      </c>
      <c r="D82" s="150">
        <v>12.968999999999999</v>
      </c>
      <c r="E82" s="150">
        <v>12.749000000000001</v>
      </c>
      <c r="F82" s="150">
        <v>12.749000000000001</v>
      </c>
      <c r="G82" s="150">
        <v>12.749000000000001</v>
      </c>
      <c r="H82" s="150">
        <v>12.749000000000001</v>
      </c>
      <c r="I82" s="150">
        <v>12.749000000000001</v>
      </c>
      <c r="K82" s="42">
        <v>13.127000000000001</v>
      </c>
      <c r="L82" s="42">
        <v>12.968999999999999</v>
      </c>
      <c r="M82" s="123">
        <f>(K82-L82)*1000</f>
        <v>158.00000000000125</v>
      </c>
      <c r="N82" s="265">
        <v>12.749000000000001</v>
      </c>
      <c r="O82" s="267">
        <v>220</v>
      </c>
    </row>
    <row r="83" spans="1:15" ht="19.5" x14ac:dyDescent="0.2">
      <c r="A83" s="80" t="s">
        <v>24</v>
      </c>
      <c r="B83" s="68"/>
      <c r="C83" s="154"/>
      <c r="D83" s="154"/>
      <c r="E83" s="154"/>
      <c r="F83" s="240"/>
      <c r="G83" s="155"/>
      <c r="H83" s="240"/>
      <c r="I83" s="155"/>
      <c r="K83" s="260"/>
      <c r="L83" s="260"/>
      <c r="M83">
        <f t="shared" ref="M83:M99" si="8">(K83-L83)*1000</f>
        <v>0</v>
      </c>
    </row>
    <row r="84" spans="1:15" ht="37.5" x14ac:dyDescent="0.3">
      <c r="A84" s="94" t="s">
        <v>267</v>
      </c>
      <c r="B84" s="68" t="s">
        <v>23</v>
      </c>
      <c r="C84" s="154">
        <v>3.2000000000000001E-2</v>
      </c>
      <c r="D84" s="154">
        <v>1.7999999999999999E-2</v>
      </c>
      <c r="E84" s="266">
        <v>1.7999999999999999E-2</v>
      </c>
      <c r="F84" s="266">
        <v>1.7999999999999999E-2</v>
      </c>
      <c r="G84" s="266">
        <v>1.7999999999999999E-2</v>
      </c>
      <c r="H84" s="266">
        <v>1.7999999999999999E-2</v>
      </c>
      <c r="I84" s="266">
        <v>1.7999999999999999E-2</v>
      </c>
      <c r="K84" s="154">
        <v>3.2000000000000001E-2</v>
      </c>
      <c r="L84" s="154">
        <v>1.7999999999999999E-2</v>
      </c>
      <c r="M84">
        <f>(K84-L84)*1000</f>
        <v>14.000000000000002</v>
      </c>
    </row>
    <row r="85" spans="1:15" ht="37.5" x14ac:dyDescent="0.2">
      <c r="A85" s="81" t="s">
        <v>133</v>
      </c>
      <c r="B85" s="68" t="s">
        <v>23</v>
      </c>
      <c r="C85" s="154"/>
      <c r="D85" s="154"/>
      <c r="E85" s="266"/>
      <c r="F85" s="266"/>
      <c r="G85" s="266"/>
      <c r="H85" s="266"/>
      <c r="I85" s="266"/>
      <c r="K85" s="154"/>
      <c r="L85" s="154"/>
    </row>
    <row r="86" spans="1:15" x14ac:dyDescent="0.3">
      <c r="A86" s="95" t="s">
        <v>134</v>
      </c>
      <c r="B86" s="68" t="s">
        <v>23</v>
      </c>
      <c r="C86" s="154"/>
      <c r="D86" s="154"/>
      <c r="E86" s="266"/>
      <c r="F86" s="266"/>
      <c r="G86" s="266"/>
      <c r="H86" s="266"/>
      <c r="I86" s="266"/>
      <c r="K86" s="154"/>
      <c r="L86" s="154"/>
    </row>
    <row r="87" spans="1:15" x14ac:dyDescent="0.3">
      <c r="A87" s="95" t="s">
        <v>135</v>
      </c>
      <c r="B87" s="68" t="s">
        <v>23</v>
      </c>
      <c r="C87" s="154"/>
      <c r="D87" s="154"/>
      <c r="E87" s="266"/>
      <c r="F87" s="266"/>
      <c r="G87" s="266"/>
      <c r="H87" s="266"/>
      <c r="I87" s="266"/>
      <c r="K87" s="154"/>
      <c r="L87" s="154"/>
    </row>
    <row r="88" spans="1:15" x14ac:dyDescent="0.3">
      <c r="A88" s="95" t="s">
        <v>43</v>
      </c>
      <c r="B88" s="68" t="s">
        <v>23</v>
      </c>
      <c r="C88" s="154">
        <v>0.36199999999999999</v>
      </c>
      <c r="D88" s="154">
        <v>0.36399999999999999</v>
      </c>
      <c r="E88" s="266">
        <v>0.36</v>
      </c>
      <c r="F88" s="266">
        <v>0.36</v>
      </c>
      <c r="G88" s="266">
        <v>0.36</v>
      </c>
      <c r="H88" s="266">
        <v>0.36</v>
      </c>
      <c r="I88" s="266">
        <v>0.36</v>
      </c>
      <c r="K88" s="154">
        <v>0.36199999999999999</v>
      </c>
      <c r="L88" s="154">
        <v>0.36399999999999999</v>
      </c>
      <c r="M88">
        <f>(K88-L88)*1000</f>
        <v>-2.0000000000000018</v>
      </c>
    </row>
    <row r="89" spans="1:15" x14ac:dyDescent="0.3">
      <c r="A89" s="95" t="s">
        <v>44</v>
      </c>
      <c r="B89" s="68" t="s">
        <v>23</v>
      </c>
      <c r="C89" s="154">
        <v>0.79800000000000004</v>
      </c>
      <c r="D89" s="154">
        <v>0.76700000000000002</v>
      </c>
      <c r="E89" s="266">
        <v>0.74</v>
      </c>
      <c r="F89" s="266">
        <v>0.74</v>
      </c>
      <c r="G89" s="266">
        <v>0.74</v>
      </c>
      <c r="H89" s="266">
        <v>0.74</v>
      </c>
      <c r="I89" s="266">
        <v>0.74</v>
      </c>
      <c r="K89" s="154">
        <v>0.79800000000000004</v>
      </c>
      <c r="L89" s="154">
        <v>0.76700000000000002</v>
      </c>
      <c r="M89">
        <f t="shared" si="8"/>
        <v>31.000000000000028</v>
      </c>
    </row>
    <row r="90" spans="1:15" ht="37.5" x14ac:dyDescent="0.2">
      <c r="A90" s="82" t="s">
        <v>136</v>
      </c>
      <c r="B90" s="68" t="s">
        <v>23</v>
      </c>
      <c r="C90" s="154">
        <v>0.68500000000000005</v>
      </c>
      <c r="D90" s="154">
        <v>0.624</v>
      </c>
      <c r="E90" s="266">
        <v>0.62</v>
      </c>
      <c r="F90" s="266">
        <v>0.62</v>
      </c>
      <c r="G90" s="266">
        <v>0.62</v>
      </c>
      <c r="H90" s="266">
        <v>0.62</v>
      </c>
      <c r="I90" s="266">
        <v>0.62</v>
      </c>
      <c r="K90" s="154">
        <v>0.68500000000000005</v>
      </c>
      <c r="L90" s="154">
        <v>0.624</v>
      </c>
      <c r="M90">
        <f t="shared" si="8"/>
        <v>61.000000000000057</v>
      </c>
    </row>
    <row r="91" spans="1:15" x14ac:dyDescent="0.3">
      <c r="A91" s="95" t="s">
        <v>137</v>
      </c>
      <c r="B91" s="68" t="s">
        <v>23</v>
      </c>
      <c r="C91" s="154">
        <v>0.12</v>
      </c>
      <c r="D91" s="154">
        <v>9.5000000000000001E-2</v>
      </c>
      <c r="E91" s="266">
        <v>0.09</v>
      </c>
      <c r="F91" s="266">
        <v>0.09</v>
      </c>
      <c r="G91" s="266">
        <v>0.09</v>
      </c>
      <c r="H91" s="266">
        <v>0.09</v>
      </c>
      <c r="I91" s="266">
        <v>0.09</v>
      </c>
      <c r="K91" s="154">
        <v>0.12</v>
      </c>
      <c r="L91" s="154">
        <v>9.5000000000000001E-2</v>
      </c>
      <c r="M91">
        <f t="shared" si="8"/>
        <v>24.999999999999993</v>
      </c>
    </row>
    <row r="92" spans="1:15" x14ac:dyDescent="0.3">
      <c r="A92" s="95" t="s">
        <v>13</v>
      </c>
      <c r="B92" s="68" t="s">
        <v>23</v>
      </c>
      <c r="C92" s="154">
        <v>0.60399999999999998</v>
      </c>
      <c r="D92" s="154">
        <v>0.53400000000000003</v>
      </c>
      <c r="E92" s="266">
        <v>0.5</v>
      </c>
      <c r="F92" s="266">
        <v>0.5</v>
      </c>
      <c r="G92" s="266">
        <v>0.5</v>
      </c>
      <c r="H92" s="266">
        <v>0.5</v>
      </c>
      <c r="I92" s="266">
        <v>0.5</v>
      </c>
      <c r="K92" s="154">
        <v>0.60399999999999998</v>
      </c>
      <c r="L92" s="154">
        <v>0.53400000000000003</v>
      </c>
      <c r="M92">
        <f t="shared" si="8"/>
        <v>69.999999999999957</v>
      </c>
    </row>
    <row r="93" spans="1:15" ht="37.5" x14ac:dyDescent="0.2">
      <c r="A93" s="81" t="s">
        <v>138</v>
      </c>
      <c r="B93" s="68" t="s">
        <v>23</v>
      </c>
      <c r="C93" s="154">
        <v>3.3919999999999999</v>
      </c>
      <c r="D93" s="154">
        <v>3.3450000000000002</v>
      </c>
      <c r="E93" s="266">
        <f>D93-0.047</f>
        <v>3.298</v>
      </c>
      <c r="F93" s="266">
        <f t="shared" ref="F93:I93" si="9">E93-0.047</f>
        <v>3.2509999999999999</v>
      </c>
      <c r="G93" s="266">
        <f t="shared" si="9"/>
        <v>3.2039999999999997</v>
      </c>
      <c r="H93" s="266">
        <f t="shared" si="9"/>
        <v>3.1569999999999996</v>
      </c>
      <c r="I93" s="266">
        <f t="shared" si="9"/>
        <v>3.1099999999999994</v>
      </c>
      <c r="K93" s="154">
        <v>3.3919999999999999</v>
      </c>
      <c r="L93" s="154">
        <v>3.3450000000000002</v>
      </c>
      <c r="M93">
        <f t="shared" si="8"/>
        <v>46.999999999999709</v>
      </c>
      <c r="O93" s="268"/>
    </row>
    <row r="94" spans="1:15" x14ac:dyDescent="0.2">
      <c r="A94" s="83" t="s">
        <v>168</v>
      </c>
      <c r="B94" s="68" t="s">
        <v>23</v>
      </c>
      <c r="C94" s="154">
        <v>2.629</v>
      </c>
      <c r="D94" s="247">
        <v>2.5619999999999998</v>
      </c>
      <c r="E94" s="266">
        <v>2.5369999999999999</v>
      </c>
      <c r="F94" s="266">
        <v>2.5369999999999999</v>
      </c>
      <c r="G94" s="266">
        <v>2.5369999999999999</v>
      </c>
      <c r="H94" s="266">
        <v>2.5369999999999999</v>
      </c>
      <c r="I94" s="266">
        <v>2.5369999999999999</v>
      </c>
      <c r="K94" s="154">
        <v>2.629</v>
      </c>
      <c r="L94" s="247">
        <v>2.5619999999999998</v>
      </c>
      <c r="M94">
        <f t="shared" si="8"/>
        <v>67.000000000000171</v>
      </c>
      <c r="O94" s="261"/>
    </row>
    <row r="95" spans="1:15" x14ac:dyDescent="0.2">
      <c r="A95" s="83" t="s">
        <v>169</v>
      </c>
      <c r="B95" s="68" t="s">
        <v>23</v>
      </c>
      <c r="C95" s="154">
        <v>9.6000000000000002E-2</v>
      </c>
      <c r="D95" s="247">
        <v>1.7000000000000001E-2</v>
      </c>
      <c r="E95" s="266">
        <v>1.7000000000000001E-2</v>
      </c>
      <c r="F95" s="266">
        <v>1.7000000000000001E-2</v>
      </c>
      <c r="G95" s="266">
        <v>1.7000000000000001E-2</v>
      </c>
      <c r="H95" s="266">
        <v>1.7000000000000001E-2</v>
      </c>
      <c r="I95" s="266">
        <v>1.7000000000000001E-2</v>
      </c>
      <c r="K95" s="154">
        <v>9.6000000000000002E-2</v>
      </c>
      <c r="L95" s="247">
        <v>1.7000000000000001E-2</v>
      </c>
      <c r="M95">
        <f t="shared" si="8"/>
        <v>79</v>
      </c>
    </row>
    <row r="96" spans="1:15" ht="37.5" x14ac:dyDescent="0.2">
      <c r="A96" s="82" t="s">
        <v>42</v>
      </c>
      <c r="B96" s="68" t="s">
        <v>23</v>
      </c>
      <c r="C96" s="154">
        <v>0.72199999999999998</v>
      </c>
      <c r="D96" s="154">
        <v>0.94899999999999995</v>
      </c>
      <c r="E96" s="266">
        <v>0.94899999999999995</v>
      </c>
      <c r="F96" s="266">
        <v>0.94899999999999995</v>
      </c>
      <c r="G96" s="266">
        <v>0.94899999999999995</v>
      </c>
      <c r="H96" s="266">
        <v>0.94899999999999995</v>
      </c>
      <c r="I96" s="266">
        <v>0.94899999999999995</v>
      </c>
      <c r="K96" s="154">
        <v>0.72199999999999998</v>
      </c>
      <c r="L96" s="154">
        <v>0.94899999999999995</v>
      </c>
      <c r="M96">
        <f>(K96-L96)*1000</f>
        <v>-226.99999999999997</v>
      </c>
    </row>
    <row r="97" spans="1:15" x14ac:dyDescent="0.3">
      <c r="A97" s="95" t="s">
        <v>46</v>
      </c>
      <c r="B97" s="68" t="s">
        <v>23</v>
      </c>
      <c r="C97" s="154">
        <v>1.8</v>
      </c>
      <c r="D97" s="154">
        <v>1.8320000000000001</v>
      </c>
      <c r="E97" s="266">
        <v>1.8320000000000001</v>
      </c>
      <c r="F97" s="266">
        <v>1.8320000000000001</v>
      </c>
      <c r="G97" s="266">
        <v>1.8320000000000001</v>
      </c>
      <c r="H97" s="266">
        <v>1.8320000000000001</v>
      </c>
      <c r="I97" s="266">
        <v>1.8320000000000001</v>
      </c>
      <c r="K97" s="154">
        <v>1.8</v>
      </c>
      <c r="L97" s="154">
        <v>1.8320000000000001</v>
      </c>
      <c r="M97">
        <f t="shared" si="8"/>
        <v>-32.000000000000028</v>
      </c>
    </row>
    <row r="98" spans="1:15" x14ac:dyDescent="0.3">
      <c r="A98" s="95" t="s">
        <v>47</v>
      </c>
      <c r="B98" s="68" t="s">
        <v>23</v>
      </c>
      <c r="C98" s="154">
        <v>0.77900000000000003</v>
      </c>
      <c r="D98" s="154">
        <v>0.82799999999999996</v>
      </c>
      <c r="E98" s="266">
        <v>0.82799999999999996</v>
      </c>
      <c r="F98" s="266">
        <v>0.82799999999999996</v>
      </c>
      <c r="G98" s="266">
        <v>0.82799999999999996</v>
      </c>
      <c r="H98" s="266">
        <v>0.82799999999999996</v>
      </c>
      <c r="I98" s="266">
        <v>0.82799999999999996</v>
      </c>
      <c r="K98" s="154">
        <v>0.77900000000000003</v>
      </c>
      <c r="L98" s="154">
        <v>0.82799999999999996</v>
      </c>
      <c r="M98">
        <f t="shared" si="8"/>
        <v>-48.999999999999929</v>
      </c>
    </row>
    <row r="99" spans="1:15" x14ac:dyDescent="0.3">
      <c r="A99" s="95" t="s">
        <v>49</v>
      </c>
      <c r="B99" s="68" t="s">
        <v>23</v>
      </c>
      <c r="C99" s="154">
        <v>1.1080000000000001</v>
      </c>
      <c r="D99" s="154">
        <v>1.034</v>
      </c>
      <c r="E99" s="266">
        <f>D99-0.074</f>
        <v>0.96000000000000008</v>
      </c>
      <c r="F99" s="266">
        <f t="shared" ref="F99:I99" si="10">E99-0.074</f>
        <v>0.88600000000000012</v>
      </c>
      <c r="G99" s="266">
        <f t="shared" si="10"/>
        <v>0.81200000000000017</v>
      </c>
      <c r="H99" s="266">
        <f t="shared" si="10"/>
        <v>0.73800000000000021</v>
      </c>
      <c r="I99" s="266">
        <f t="shared" si="10"/>
        <v>0.66400000000000026</v>
      </c>
      <c r="K99" s="154">
        <v>1.1080000000000001</v>
      </c>
      <c r="L99" s="154">
        <v>1.034</v>
      </c>
      <c r="M99">
        <f t="shared" si="8"/>
        <v>74.000000000000071</v>
      </c>
      <c r="O99" s="123"/>
    </row>
    <row r="100" spans="1:15" ht="54.75" customHeight="1" x14ac:dyDescent="0.3">
      <c r="A100" s="97" t="s">
        <v>60</v>
      </c>
      <c r="B100" s="68" t="s">
        <v>23</v>
      </c>
      <c r="C100" s="186">
        <v>2.1160000000000001</v>
      </c>
      <c r="D100" s="186">
        <v>2.1619999999999999</v>
      </c>
      <c r="E100" s="186">
        <v>2.2090500000000004</v>
      </c>
      <c r="F100" s="186">
        <v>2.6347800000000001</v>
      </c>
      <c r="G100" s="186">
        <v>2.2075500000000003</v>
      </c>
      <c r="H100" s="186">
        <v>2.22655</v>
      </c>
      <c r="I100" s="186">
        <v>2.2330500000000004</v>
      </c>
    </row>
    <row r="101" spans="1:15" x14ac:dyDescent="0.3">
      <c r="A101" s="98" t="s">
        <v>48</v>
      </c>
      <c r="B101" s="68"/>
      <c r="C101" s="154"/>
      <c r="D101" s="154"/>
      <c r="E101" s="154"/>
      <c r="F101" s="154"/>
      <c r="G101" s="155"/>
      <c r="H101" s="154"/>
      <c r="I101" s="155"/>
    </row>
    <row r="102" spans="1:15" ht="37.5" x14ac:dyDescent="0.2">
      <c r="A102" s="128" t="s">
        <v>264</v>
      </c>
      <c r="B102" s="68" t="s">
        <v>23</v>
      </c>
      <c r="C102" s="186">
        <v>0.19869999999999999</v>
      </c>
      <c r="D102" s="186">
        <v>0.19669999999999999</v>
      </c>
      <c r="E102" s="186">
        <v>0.20100000000000001</v>
      </c>
      <c r="F102" s="186">
        <v>0.22144999999999998</v>
      </c>
      <c r="G102" s="186">
        <v>0.20150000000000001</v>
      </c>
      <c r="H102" s="186">
        <v>0.21749999999999997</v>
      </c>
      <c r="I102" s="186">
        <v>0.22399999999999998</v>
      </c>
    </row>
    <row r="103" spans="1:15" x14ac:dyDescent="0.3">
      <c r="A103" s="129" t="s">
        <v>170</v>
      </c>
      <c r="B103" s="68" t="s">
        <v>23</v>
      </c>
      <c r="C103" s="154">
        <v>6.8000000000000005E-2</v>
      </c>
      <c r="D103" s="154">
        <v>6.8000000000000005E-2</v>
      </c>
      <c r="E103" s="154">
        <v>7.1749999999999994E-2</v>
      </c>
      <c r="F103" s="154">
        <v>7.1749999999999994E-2</v>
      </c>
      <c r="G103" s="155">
        <v>7.1749999999999994E-2</v>
      </c>
      <c r="H103" s="154">
        <v>7.1749999999999994E-2</v>
      </c>
      <c r="I103" s="253">
        <v>7.1749999999999994E-2</v>
      </c>
    </row>
    <row r="104" spans="1:15" x14ac:dyDescent="0.3">
      <c r="A104" s="129" t="s">
        <v>42</v>
      </c>
      <c r="B104" s="68" t="s">
        <v>22</v>
      </c>
      <c r="C104" s="186">
        <v>0.26300000000000001</v>
      </c>
      <c r="D104" s="186">
        <v>0.26800000000000002</v>
      </c>
      <c r="E104" s="186">
        <v>0.27100000000000002</v>
      </c>
      <c r="F104" s="186">
        <v>0.28628000000000003</v>
      </c>
      <c r="G104" s="186">
        <v>0.26900000000000002</v>
      </c>
      <c r="H104" s="255">
        <v>0.27200000000000002</v>
      </c>
      <c r="I104" s="188">
        <v>0.27200000000000002</v>
      </c>
    </row>
    <row r="105" spans="1:15" x14ac:dyDescent="0.3">
      <c r="A105" s="129" t="s">
        <v>46</v>
      </c>
      <c r="B105" s="68" t="s">
        <v>22</v>
      </c>
      <c r="C105" s="154">
        <v>1.5289999999999999</v>
      </c>
      <c r="D105" s="154">
        <v>1.5449999999999999</v>
      </c>
      <c r="E105" s="155">
        <v>1.571</v>
      </c>
      <c r="F105" s="154">
        <v>1.9590000000000001</v>
      </c>
      <c r="G105" s="155">
        <v>1.571</v>
      </c>
      <c r="H105" s="256">
        <v>1.571</v>
      </c>
      <c r="I105" s="187">
        <v>1.571</v>
      </c>
    </row>
    <row r="106" spans="1:15" x14ac:dyDescent="0.3">
      <c r="A106" s="129" t="s">
        <v>285</v>
      </c>
      <c r="B106" s="68" t="s">
        <v>22</v>
      </c>
      <c r="C106" s="152">
        <v>5.7299999999999997E-2</v>
      </c>
      <c r="D106" s="152">
        <v>8.43E-2</v>
      </c>
      <c r="E106" s="152">
        <v>9.4299999999999995E-2</v>
      </c>
      <c r="F106" s="152">
        <v>9.6299999999999997E-2</v>
      </c>
      <c r="G106" s="152">
        <v>9.4299999999999995E-2</v>
      </c>
      <c r="H106" s="257">
        <v>9.4299999999999995E-2</v>
      </c>
      <c r="I106" s="252">
        <v>9.4299999999999995E-2</v>
      </c>
    </row>
    <row r="107" spans="1:15" ht="56.25" x14ac:dyDescent="0.3">
      <c r="A107" s="99" t="s">
        <v>75</v>
      </c>
      <c r="B107" s="68" t="s">
        <v>23</v>
      </c>
      <c r="C107" s="154">
        <v>1.675</v>
      </c>
      <c r="D107" s="154">
        <v>1.5049999999999999</v>
      </c>
      <c r="E107" s="154">
        <v>1.5049999999999999</v>
      </c>
      <c r="F107" s="154">
        <v>1.5049999999999999</v>
      </c>
      <c r="G107" s="154">
        <v>1.5049999999999999</v>
      </c>
      <c r="H107" s="154">
        <v>1.5049999999999999</v>
      </c>
      <c r="I107" s="254">
        <v>1.5049999999999999</v>
      </c>
    </row>
    <row r="108" spans="1:15" ht="19.5" x14ac:dyDescent="0.2">
      <c r="A108" s="80" t="s">
        <v>24</v>
      </c>
      <c r="B108" s="68"/>
      <c r="C108" s="154"/>
      <c r="D108" s="153"/>
      <c r="E108" s="69"/>
      <c r="F108" s="69"/>
      <c r="G108" s="70"/>
      <c r="H108" s="69"/>
      <c r="I108" s="70"/>
    </row>
    <row r="109" spans="1:15" ht="37.5" x14ac:dyDescent="0.3">
      <c r="A109" s="100" t="s">
        <v>267</v>
      </c>
      <c r="B109" s="68" t="s">
        <v>23</v>
      </c>
      <c r="C109" s="154">
        <v>1.4E-2</v>
      </c>
      <c r="D109" s="264">
        <v>1.4E-2</v>
      </c>
      <c r="E109" s="264">
        <v>1.4E-2</v>
      </c>
      <c r="F109" s="264">
        <v>1.4E-2</v>
      </c>
      <c r="G109" s="264">
        <v>1.4E-2</v>
      </c>
      <c r="H109" s="264">
        <v>1.4E-2</v>
      </c>
      <c r="I109" s="264">
        <v>1.4E-2</v>
      </c>
    </row>
    <row r="110" spans="1:15" ht="37.5" x14ac:dyDescent="0.2">
      <c r="A110" s="101" t="s">
        <v>133</v>
      </c>
      <c r="B110" s="68" t="s">
        <v>22</v>
      </c>
      <c r="C110" s="154">
        <v>0</v>
      </c>
      <c r="D110" s="274">
        <v>0</v>
      </c>
      <c r="E110" s="274">
        <v>0</v>
      </c>
      <c r="F110" s="274">
        <v>0</v>
      </c>
      <c r="G110" s="274">
        <v>0</v>
      </c>
      <c r="H110" s="274">
        <v>0</v>
      </c>
      <c r="I110" s="274">
        <v>0</v>
      </c>
    </row>
    <row r="111" spans="1:15" x14ac:dyDescent="0.3">
      <c r="A111" s="102" t="s">
        <v>134</v>
      </c>
      <c r="B111" s="68" t="s">
        <v>23</v>
      </c>
      <c r="C111" s="154">
        <v>0</v>
      </c>
      <c r="D111" s="274">
        <v>0</v>
      </c>
      <c r="E111" s="274">
        <v>0</v>
      </c>
      <c r="F111" s="274">
        <v>0</v>
      </c>
      <c r="G111" s="274">
        <v>0</v>
      </c>
      <c r="H111" s="274">
        <v>0</v>
      </c>
      <c r="I111" s="274">
        <v>0</v>
      </c>
    </row>
    <row r="112" spans="1:15" x14ac:dyDescent="0.3">
      <c r="A112" s="102" t="s">
        <v>135</v>
      </c>
      <c r="B112" s="68" t="s">
        <v>23</v>
      </c>
      <c r="C112" s="154">
        <v>8.9999999999999993E-3</v>
      </c>
      <c r="D112" s="247">
        <v>8.9999999999999993E-3</v>
      </c>
      <c r="E112" s="247">
        <v>8.9999999999999993E-3</v>
      </c>
      <c r="F112" s="247">
        <v>8.9999999999999993E-3</v>
      </c>
      <c r="G112" s="247">
        <v>8.9999999999999993E-3</v>
      </c>
      <c r="H112" s="247">
        <v>8.9999999999999993E-3</v>
      </c>
      <c r="I112" s="247">
        <v>8.9999999999999993E-3</v>
      </c>
    </row>
    <row r="113" spans="1:14" ht="24" customHeight="1" x14ac:dyDescent="0.2">
      <c r="A113" s="83" t="s">
        <v>43</v>
      </c>
      <c r="B113" s="68" t="s">
        <v>23</v>
      </c>
      <c r="C113" s="154">
        <v>0</v>
      </c>
      <c r="D113" s="274">
        <v>0</v>
      </c>
      <c r="E113" s="274">
        <v>0</v>
      </c>
      <c r="F113" s="274">
        <v>0</v>
      </c>
      <c r="G113" s="274">
        <v>0</v>
      </c>
      <c r="H113" s="274">
        <v>0</v>
      </c>
      <c r="I113" s="274">
        <v>0</v>
      </c>
    </row>
    <row r="114" spans="1:14" x14ac:dyDescent="0.3">
      <c r="A114" s="102" t="s">
        <v>44</v>
      </c>
      <c r="B114" s="68" t="s">
        <v>22</v>
      </c>
      <c r="C114" s="154">
        <v>0.29799999999999999</v>
      </c>
      <c r="D114" s="247">
        <v>0.29799999999999999</v>
      </c>
      <c r="E114" s="247">
        <v>0.29799999999999999</v>
      </c>
      <c r="F114" s="247">
        <v>0.29799999999999999</v>
      </c>
      <c r="G114" s="247">
        <v>0.29799999999999999</v>
      </c>
      <c r="H114" s="247">
        <v>0.29799999999999999</v>
      </c>
      <c r="I114" s="247">
        <v>0.29799999999999999</v>
      </c>
    </row>
    <row r="115" spans="1:14" ht="37.5" x14ac:dyDescent="0.2">
      <c r="A115" s="103" t="s">
        <v>136</v>
      </c>
      <c r="B115" s="68" t="s">
        <v>22</v>
      </c>
      <c r="C115" s="154">
        <v>4.0000000000000001E-3</v>
      </c>
      <c r="D115" s="247">
        <v>4.0000000000000001E-3</v>
      </c>
      <c r="E115" s="247">
        <v>4.0000000000000001E-3</v>
      </c>
      <c r="F115" s="247">
        <v>4.0000000000000001E-3</v>
      </c>
      <c r="G115" s="247">
        <v>4.0000000000000001E-3</v>
      </c>
      <c r="H115" s="247">
        <v>4.0000000000000001E-3</v>
      </c>
      <c r="I115" s="247">
        <v>4.0000000000000001E-3</v>
      </c>
    </row>
    <row r="116" spans="1:14" ht="56.25" x14ac:dyDescent="0.3">
      <c r="A116" s="102" t="s">
        <v>137</v>
      </c>
      <c r="B116" s="68" t="s">
        <v>22</v>
      </c>
      <c r="C116" s="154">
        <v>6.8000000000000005E-2</v>
      </c>
      <c r="D116" s="247">
        <v>6.8000000000000005E-2</v>
      </c>
      <c r="E116" s="247">
        <v>6.8000000000000005E-2</v>
      </c>
      <c r="F116" s="247">
        <v>6.8000000000000005E-2</v>
      </c>
      <c r="G116" s="247">
        <v>6.8000000000000005E-2</v>
      </c>
      <c r="H116" s="247">
        <v>6.8000000000000005E-2</v>
      </c>
      <c r="I116" s="247">
        <v>6.8000000000000005E-2</v>
      </c>
      <c r="J116" s="229">
        <v>1223</v>
      </c>
      <c r="K116" s="45" t="s">
        <v>9</v>
      </c>
      <c r="L116" s="45" t="s">
        <v>317</v>
      </c>
      <c r="M116" s="45"/>
      <c r="N116" s="45"/>
    </row>
    <row r="117" spans="1:14" x14ac:dyDescent="0.3">
      <c r="A117" s="102" t="s">
        <v>13</v>
      </c>
      <c r="B117" s="68" t="s">
        <v>22</v>
      </c>
      <c r="C117" s="154">
        <v>9.5000000000000001E-2</v>
      </c>
      <c r="D117" s="264">
        <f>C117-M117</f>
        <v>8.1794766966475876E-2</v>
      </c>
      <c r="E117" s="264">
        <f t="shared" ref="E117:I118" si="11">D117-N117</f>
        <v>8.1794766966475876E-2</v>
      </c>
      <c r="F117" s="264">
        <f t="shared" si="11"/>
        <v>8.1794766966475876E-2</v>
      </c>
      <c r="G117" s="264">
        <f t="shared" si="11"/>
        <v>8.1794766966475876E-2</v>
      </c>
      <c r="H117" s="264">
        <f t="shared" si="11"/>
        <v>8.1794766966475876E-2</v>
      </c>
      <c r="I117" s="264">
        <f t="shared" si="11"/>
        <v>8.1794766966475876E-2</v>
      </c>
      <c r="J117" s="232">
        <v>95</v>
      </c>
      <c r="K117" s="248">
        <f>J117/J116*100</f>
        <v>7.7677841373671299</v>
      </c>
      <c r="L117" s="249">
        <f>170*K117%</f>
        <v>13.20523303352412</v>
      </c>
      <c r="M117" s="235">
        <f>L117/1000</f>
        <v>1.3205233033524119E-2</v>
      </c>
      <c r="N117" s="45"/>
    </row>
    <row r="118" spans="1:14" ht="37.5" x14ac:dyDescent="0.3">
      <c r="A118" s="102" t="s">
        <v>138</v>
      </c>
      <c r="B118" s="68" t="s">
        <v>22</v>
      </c>
      <c r="C118" s="154">
        <v>0.29399999999999998</v>
      </c>
      <c r="D118" s="264">
        <f>C118-M118</f>
        <v>0.25313327882256742</v>
      </c>
      <c r="E118" s="264">
        <f t="shared" ref="E118" si="12">D118-N118</f>
        <v>0.25313327882256742</v>
      </c>
      <c r="F118" s="264">
        <f t="shared" si="11"/>
        <v>0.25313327882256742</v>
      </c>
      <c r="G118" s="264">
        <f t="shared" si="11"/>
        <v>0.25313327882256742</v>
      </c>
      <c r="H118" s="264">
        <f t="shared" si="11"/>
        <v>0.25313327882256742</v>
      </c>
      <c r="I118" s="264">
        <f t="shared" si="11"/>
        <v>0.25313327882256742</v>
      </c>
      <c r="J118" s="232">
        <v>294</v>
      </c>
      <c r="K118" s="248">
        <f>J118/J116*100</f>
        <v>24.03924775143091</v>
      </c>
      <c r="L118" s="249">
        <f>170*K118%</f>
        <v>40.866721177432545</v>
      </c>
      <c r="M118" s="235">
        <f t="shared" ref="M118:M122" si="13">L118/1000</f>
        <v>4.0866721177432543E-2</v>
      </c>
      <c r="N118" s="45"/>
    </row>
    <row r="119" spans="1:14" x14ac:dyDescent="0.2">
      <c r="A119" s="83" t="s">
        <v>168</v>
      </c>
      <c r="B119" s="68"/>
      <c r="C119" s="154">
        <v>4.4999999999999998E-2</v>
      </c>
      <c r="D119" s="247">
        <v>4.4999999999999998E-2</v>
      </c>
      <c r="E119" s="247">
        <v>4.4999999999999998E-2</v>
      </c>
      <c r="F119" s="247">
        <v>4.4999999999999998E-2</v>
      </c>
      <c r="G119" s="247">
        <v>4.4999999999999998E-2</v>
      </c>
      <c r="H119" s="247">
        <v>4.4999999999999998E-2</v>
      </c>
      <c r="I119" s="247">
        <v>4.4999999999999998E-2</v>
      </c>
      <c r="J119" s="232"/>
      <c r="K119" s="248"/>
      <c r="L119" s="249"/>
      <c r="M119" s="235">
        <f t="shared" si="13"/>
        <v>0</v>
      </c>
      <c r="N119" s="45"/>
    </row>
    <row r="120" spans="1:14" x14ac:dyDescent="0.2">
      <c r="A120" s="83" t="s">
        <v>169</v>
      </c>
      <c r="B120" s="68"/>
      <c r="C120" s="154">
        <v>1.4E-2</v>
      </c>
      <c r="D120" s="247">
        <v>1.4E-2</v>
      </c>
      <c r="E120" s="247">
        <v>1.4E-2</v>
      </c>
      <c r="F120" s="247">
        <v>1.4E-2</v>
      </c>
      <c r="G120" s="247">
        <v>1.4E-2</v>
      </c>
      <c r="H120" s="247">
        <v>1.4E-2</v>
      </c>
      <c r="I120" s="247">
        <v>1.4E-2</v>
      </c>
      <c r="J120" s="232"/>
      <c r="K120" s="248"/>
      <c r="L120" s="249"/>
      <c r="M120" s="235">
        <f t="shared" si="13"/>
        <v>0</v>
      </c>
      <c r="N120" s="45"/>
    </row>
    <row r="121" spans="1:14" x14ac:dyDescent="0.3">
      <c r="A121" s="102" t="s">
        <v>49</v>
      </c>
      <c r="B121" s="68" t="s">
        <v>22</v>
      </c>
      <c r="C121" s="154">
        <v>0.83399999999999996</v>
      </c>
      <c r="D121" s="264">
        <f>C121-M121</f>
        <v>0.7180719542109566</v>
      </c>
      <c r="E121" s="264">
        <f>D121-N121</f>
        <v>0.7180719542109566</v>
      </c>
      <c r="F121" s="264">
        <f t="shared" ref="F121:I121" si="14">E121-O121</f>
        <v>0.7180719542109566</v>
      </c>
      <c r="G121" s="264">
        <f t="shared" si="14"/>
        <v>0.7180719542109566</v>
      </c>
      <c r="H121" s="264">
        <f t="shared" si="14"/>
        <v>0.7180719542109566</v>
      </c>
      <c r="I121" s="264">
        <f t="shared" si="14"/>
        <v>0.7180719542109566</v>
      </c>
      <c r="J121" s="250">
        <v>834</v>
      </c>
      <c r="K121" s="248">
        <f>J121/J116*100</f>
        <v>68.192968111201964</v>
      </c>
      <c r="L121" s="249">
        <f>170*K121%</f>
        <v>115.92804578904335</v>
      </c>
      <c r="M121" s="235">
        <f>L121/1000</f>
        <v>0.11592804578904335</v>
      </c>
      <c r="N121" s="45"/>
    </row>
    <row r="122" spans="1:14" ht="39" x14ac:dyDescent="0.2">
      <c r="A122" s="84" t="s">
        <v>86</v>
      </c>
      <c r="B122" s="68" t="s">
        <v>9</v>
      </c>
      <c r="C122" s="160">
        <v>1.2</v>
      </c>
      <c r="D122" s="160">
        <v>1.7</v>
      </c>
      <c r="E122" s="160">
        <v>1.1000000000000001</v>
      </c>
      <c r="F122" s="160">
        <v>1.2</v>
      </c>
      <c r="G122" s="185">
        <v>1.4</v>
      </c>
      <c r="H122" s="160">
        <v>1.2</v>
      </c>
      <c r="I122" s="185">
        <v>1.1000000000000001</v>
      </c>
      <c r="J122" s="45"/>
      <c r="K122" s="45"/>
      <c r="L122" s="249">
        <f>SUM(L117:L121)</f>
        <v>170</v>
      </c>
      <c r="M122" s="45">
        <f t="shared" si="13"/>
        <v>0.17</v>
      </c>
      <c r="N122" s="45"/>
    </row>
    <row r="123" spans="1:14" ht="58.5" x14ac:dyDescent="0.2">
      <c r="A123" s="80" t="s">
        <v>79</v>
      </c>
      <c r="B123" s="68" t="s">
        <v>10</v>
      </c>
      <c r="C123" s="258">
        <v>29296.5</v>
      </c>
      <c r="D123" s="258">
        <v>30906.6</v>
      </c>
      <c r="E123" s="258">
        <f>E149/E82/12*1000</f>
        <v>31683.576489659321</v>
      </c>
      <c r="F123" s="258">
        <f t="shared" ref="F123:I123" si="15">F149/F82/12*1000</f>
        <v>32317.567390906475</v>
      </c>
      <c r="G123" s="258">
        <f t="shared" si="15"/>
        <v>32428.667607916956</v>
      </c>
      <c r="H123" s="258">
        <f t="shared" si="15"/>
        <v>33273.962663738334</v>
      </c>
      <c r="I123" s="258">
        <f t="shared" si="15"/>
        <v>34014.798546291211</v>
      </c>
      <c r="J123" s="251"/>
      <c r="K123" s="45"/>
      <c r="L123" s="45"/>
      <c r="M123" s="45"/>
      <c r="N123" s="45"/>
    </row>
    <row r="124" spans="1:14" ht="19.5" x14ac:dyDescent="0.2">
      <c r="A124" s="80" t="s">
        <v>24</v>
      </c>
      <c r="B124" s="68"/>
      <c r="C124" s="154"/>
      <c r="D124" s="276"/>
      <c r="E124" s="276"/>
      <c r="F124" s="276"/>
      <c r="G124" s="276"/>
      <c r="H124" s="276"/>
      <c r="I124" s="276"/>
      <c r="J124" t="s">
        <v>320</v>
      </c>
    </row>
    <row r="125" spans="1:14" ht="37.5" x14ac:dyDescent="0.3">
      <c r="A125" s="94" t="s">
        <v>132</v>
      </c>
      <c r="B125" s="68" t="s">
        <v>10</v>
      </c>
      <c r="C125" s="154">
        <v>28548.1</v>
      </c>
      <c r="D125" s="166">
        <v>28820.400000000001</v>
      </c>
      <c r="E125" s="154">
        <f>D125*101.7%</f>
        <v>29310.346800000007</v>
      </c>
      <c r="F125" s="155">
        <f>E125*102%</f>
        <v>29896.553736000009</v>
      </c>
      <c r="G125" s="155">
        <f>E125*102.3%</f>
        <v>29984.484776400004</v>
      </c>
      <c r="H125" s="155">
        <f>F125*102.2%</f>
        <v>30554.277918192009</v>
      </c>
      <c r="I125" s="155">
        <f>H125*102.2%</f>
        <v>31226.472032392234</v>
      </c>
    </row>
    <row r="126" spans="1:14" ht="37.5" x14ac:dyDescent="0.2">
      <c r="A126" s="82" t="s">
        <v>133</v>
      </c>
      <c r="B126" s="68" t="s">
        <v>10</v>
      </c>
      <c r="C126" s="154"/>
      <c r="D126" s="154"/>
      <c r="E126" s="154"/>
      <c r="F126" s="155"/>
      <c r="G126" s="155"/>
      <c r="H126" s="155"/>
      <c r="I126" s="155"/>
    </row>
    <row r="127" spans="1:14" x14ac:dyDescent="0.3">
      <c r="A127" s="95" t="s">
        <v>134</v>
      </c>
      <c r="B127" s="68" t="s">
        <v>10</v>
      </c>
      <c r="C127" s="154"/>
      <c r="D127" s="154"/>
      <c r="E127" s="154"/>
      <c r="F127" s="155"/>
      <c r="G127" s="155"/>
      <c r="H127" s="155"/>
      <c r="I127" s="155"/>
    </row>
    <row r="128" spans="1:14" x14ac:dyDescent="0.3">
      <c r="A128" s="95" t="s">
        <v>135</v>
      </c>
      <c r="B128" s="68" t="s">
        <v>10</v>
      </c>
      <c r="C128" s="154"/>
      <c r="D128" s="154"/>
      <c r="E128" s="154"/>
      <c r="F128" s="155"/>
      <c r="G128" s="155"/>
      <c r="H128" s="155"/>
      <c r="I128" s="155"/>
    </row>
    <row r="129" spans="1:9" x14ac:dyDescent="0.3">
      <c r="A129" s="95" t="s">
        <v>43</v>
      </c>
      <c r="B129" s="68" t="s">
        <v>10</v>
      </c>
      <c r="C129" s="154">
        <v>42712</v>
      </c>
      <c r="D129" s="167">
        <v>40748</v>
      </c>
      <c r="E129" s="154">
        <f t="shared" ref="E129:E140" si="16">D129*101.7%</f>
        <v>41440.716000000008</v>
      </c>
      <c r="F129" s="155">
        <f t="shared" ref="F129:F140" si="17">E129*102%</f>
        <v>42269.530320000005</v>
      </c>
      <c r="G129" s="155">
        <f t="shared" ref="G129:G140" si="18">E129*102.3%</f>
        <v>42393.852468000005</v>
      </c>
      <c r="H129" s="155">
        <f t="shared" ref="H129:H140" si="19">F129*102.2%</f>
        <v>43199.459987040005</v>
      </c>
      <c r="I129" s="155">
        <f t="shared" ref="I129:I140" si="20">H129*102.2%</f>
        <v>44149.848106754886</v>
      </c>
    </row>
    <row r="130" spans="1:9" x14ac:dyDescent="0.3">
      <c r="A130" s="95" t="s">
        <v>44</v>
      </c>
      <c r="B130" s="68" t="s">
        <v>10</v>
      </c>
      <c r="C130" s="154">
        <v>21174.2</v>
      </c>
      <c r="D130" s="167">
        <v>24172.14</v>
      </c>
      <c r="E130" s="154">
        <f>D130*101.7%</f>
        <v>24583.066380000004</v>
      </c>
      <c r="F130" s="155">
        <f t="shared" si="17"/>
        <v>25074.727707600003</v>
      </c>
      <c r="G130" s="155">
        <f t="shared" si="18"/>
        <v>25148.476906740001</v>
      </c>
      <c r="H130" s="155">
        <f t="shared" si="19"/>
        <v>25626.371717167203</v>
      </c>
      <c r="I130" s="155">
        <f t="shared" si="20"/>
        <v>26190.151894944884</v>
      </c>
    </row>
    <row r="131" spans="1:9" ht="37.5" x14ac:dyDescent="0.2">
      <c r="A131" s="103" t="s">
        <v>136</v>
      </c>
      <c r="B131" s="68" t="s">
        <v>10</v>
      </c>
      <c r="C131" s="154">
        <v>32093.8</v>
      </c>
      <c r="D131" s="167">
        <v>34687.800000000003</v>
      </c>
      <c r="E131" s="154">
        <f t="shared" si="16"/>
        <v>35277.492600000005</v>
      </c>
      <c r="F131" s="155">
        <f t="shared" si="17"/>
        <v>35983.042452000009</v>
      </c>
      <c r="G131" s="155">
        <f t="shared" si="18"/>
        <v>36088.874929800004</v>
      </c>
      <c r="H131" s="155">
        <f t="shared" si="19"/>
        <v>36774.669385944013</v>
      </c>
      <c r="I131" s="155">
        <f t="shared" si="20"/>
        <v>37583.712112434783</v>
      </c>
    </row>
    <row r="132" spans="1:9" x14ac:dyDescent="0.3">
      <c r="A132" s="95" t="s">
        <v>137</v>
      </c>
      <c r="B132" s="68" t="s">
        <v>10</v>
      </c>
      <c r="C132" s="154">
        <v>27829.599999999999</v>
      </c>
      <c r="D132" s="167">
        <v>27322</v>
      </c>
      <c r="E132" s="154">
        <f t="shared" si="16"/>
        <v>27786.474000000002</v>
      </c>
      <c r="F132" s="155">
        <f t="shared" si="17"/>
        <v>28342.203480000004</v>
      </c>
      <c r="G132" s="155">
        <f t="shared" si="18"/>
        <v>28425.562901999998</v>
      </c>
      <c r="H132" s="155">
        <f t="shared" si="19"/>
        <v>28965.731956560005</v>
      </c>
      <c r="I132" s="155">
        <f t="shared" si="20"/>
        <v>29602.978059604324</v>
      </c>
    </row>
    <row r="133" spans="1:9" x14ac:dyDescent="0.2">
      <c r="A133" s="82" t="s">
        <v>13</v>
      </c>
      <c r="B133" s="68" t="s">
        <v>10</v>
      </c>
      <c r="C133" s="154">
        <v>46374.8</v>
      </c>
      <c r="D133" s="167">
        <v>52255.4</v>
      </c>
      <c r="E133" s="154">
        <f t="shared" si="16"/>
        <v>53143.741800000011</v>
      </c>
      <c r="F133" s="155">
        <f t="shared" si="17"/>
        <v>54206.616636000013</v>
      </c>
      <c r="G133" s="155">
        <f t="shared" si="18"/>
        <v>54366.047861400009</v>
      </c>
      <c r="H133" s="155">
        <f t="shared" si="19"/>
        <v>55399.162201992018</v>
      </c>
      <c r="I133" s="155">
        <f t="shared" si="20"/>
        <v>56617.943770435842</v>
      </c>
    </row>
    <row r="134" spans="1:9" ht="37.5" x14ac:dyDescent="0.3">
      <c r="A134" s="94" t="s">
        <v>138</v>
      </c>
      <c r="B134" s="68" t="s">
        <v>10</v>
      </c>
      <c r="C134" s="154">
        <v>29533</v>
      </c>
      <c r="D134" s="167">
        <v>25733.87</v>
      </c>
      <c r="E134" s="154">
        <f t="shared" si="16"/>
        <v>26171.345790000003</v>
      </c>
      <c r="F134" s="155">
        <f t="shared" si="17"/>
        <v>26694.772705800002</v>
      </c>
      <c r="G134" s="155">
        <f t="shared" si="18"/>
        <v>26773.28674317</v>
      </c>
      <c r="H134" s="155">
        <f t="shared" si="19"/>
        <v>27282.057705327603</v>
      </c>
      <c r="I134" s="155">
        <f t="shared" si="20"/>
        <v>27882.262974844809</v>
      </c>
    </row>
    <row r="135" spans="1:9" x14ac:dyDescent="0.2">
      <c r="A135" s="83" t="s">
        <v>168</v>
      </c>
      <c r="B135" s="68" t="s">
        <v>10</v>
      </c>
      <c r="C135" s="154">
        <v>37031.305734499998</v>
      </c>
      <c r="D135" s="152">
        <f>C135*102.5%</f>
        <v>37957.088377862492</v>
      </c>
      <c r="E135" s="154">
        <f t="shared" si="16"/>
        <v>38602.358880286156</v>
      </c>
      <c r="F135" s="155">
        <f t="shared" si="17"/>
        <v>39374.40605789188</v>
      </c>
      <c r="G135" s="155">
        <f t="shared" si="18"/>
        <v>39490.213134532736</v>
      </c>
      <c r="H135" s="155">
        <f t="shared" si="19"/>
        <v>40240.6429911655</v>
      </c>
      <c r="I135" s="155">
        <f t="shared" si="20"/>
        <v>41125.937136971144</v>
      </c>
    </row>
    <row r="136" spans="1:9" x14ac:dyDescent="0.2">
      <c r="A136" s="83" t="s">
        <v>169</v>
      </c>
      <c r="B136" s="68" t="s">
        <v>10</v>
      </c>
      <c r="C136" s="154">
        <v>33234.5</v>
      </c>
      <c r="D136" s="152">
        <f>C136*102.5%</f>
        <v>34065.362499999996</v>
      </c>
      <c r="E136" s="154">
        <f t="shared" si="16"/>
        <v>34644.473662500001</v>
      </c>
      <c r="F136" s="155">
        <f t="shared" si="17"/>
        <v>35337.363135749998</v>
      </c>
      <c r="G136" s="155">
        <f t="shared" si="18"/>
        <v>35441.296556737499</v>
      </c>
      <c r="H136" s="155">
        <f t="shared" si="19"/>
        <v>36114.785124736496</v>
      </c>
      <c r="I136" s="155">
        <f t="shared" si="20"/>
        <v>36909.310397480702</v>
      </c>
    </row>
    <row r="137" spans="1:9" ht="37.5" x14ac:dyDescent="0.3">
      <c r="A137" s="94" t="s">
        <v>42</v>
      </c>
      <c r="B137" s="68" t="s">
        <v>10</v>
      </c>
      <c r="C137" s="154">
        <v>47446.400000000001</v>
      </c>
      <c r="D137" s="167">
        <v>54714.9</v>
      </c>
      <c r="E137" s="154">
        <f t="shared" si="16"/>
        <v>55645.053300000007</v>
      </c>
      <c r="F137" s="155">
        <f t="shared" si="17"/>
        <v>56757.954366000005</v>
      </c>
      <c r="G137" s="155">
        <f t="shared" si="18"/>
        <v>56924.889525900006</v>
      </c>
      <c r="H137" s="155">
        <f t="shared" si="19"/>
        <v>58006.629362052008</v>
      </c>
      <c r="I137" s="155">
        <f t="shared" si="20"/>
        <v>59282.775208017156</v>
      </c>
    </row>
    <row r="138" spans="1:9" x14ac:dyDescent="0.3">
      <c r="A138" s="96" t="s">
        <v>46</v>
      </c>
      <c r="B138" s="68" t="s">
        <v>10</v>
      </c>
      <c r="C138" s="154">
        <v>29556.1</v>
      </c>
      <c r="D138" s="167">
        <v>36624.199999999997</v>
      </c>
      <c r="E138" s="154">
        <f t="shared" si="16"/>
        <v>37246.811399999999</v>
      </c>
      <c r="F138" s="155">
        <f t="shared" si="17"/>
        <v>37991.747627999997</v>
      </c>
      <c r="G138" s="155">
        <f t="shared" si="18"/>
        <v>38103.488062199998</v>
      </c>
      <c r="H138" s="155">
        <f t="shared" si="19"/>
        <v>38827.566075816001</v>
      </c>
      <c r="I138" s="155">
        <f t="shared" si="20"/>
        <v>39681.772529483955</v>
      </c>
    </row>
    <row r="139" spans="1:9" x14ac:dyDescent="0.3">
      <c r="A139" s="95" t="s">
        <v>47</v>
      </c>
      <c r="B139" s="68" t="s">
        <v>10</v>
      </c>
      <c r="C139" s="154">
        <v>37607.599999999999</v>
      </c>
      <c r="D139" s="167">
        <v>43476.2</v>
      </c>
      <c r="E139" s="154">
        <f t="shared" si="16"/>
        <v>44215.295400000003</v>
      </c>
      <c r="F139" s="155">
        <f t="shared" si="17"/>
        <v>45099.601308000005</v>
      </c>
      <c r="G139" s="155">
        <f t="shared" si="18"/>
        <v>45232.247194199997</v>
      </c>
      <c r="H139" s="155">
        <f t="shared" si="19"/>
        <v>46091.792536776004</v>
      </c>
      <c r="I139" s="155">
        <f t="shared" si="20"/>
        <v>47105.811972585077</v>
      </c>
    </row>
    <row r="140" spans="1:9" x14ac:dyDescent="0.3">
      <c r="A140" s="95" t="s">
        <v>49</v>
      </c>
      <c r="B140" s="68" t="s">
        <v>10</v>
      </c>
      <c r="C140" s="154">
        <v>20733.604905000004</v>
      </c>
      <c r="D140" s="152">
        <f>C140*102.5%</f>
        <v>21251.945027625003</v>
      </c>
      <c r="E140" s="154">
        <f t="shared" si="16"/>
        <v>21613.228093094629</v>
      </c>
      <c r="F140" s="155">
        <f t="shared" si="17"/>
        <v>22045.492654956521</v>
      </c>
      <c r="G140" s="155">
        <f t="shared" si="18"/>
        <v>22110.332339235803</v>
      </c>
      <c r="H140" s="155">
        <f t="shared" si="19"/>
        <v>22530.493493365564</v>
      </c>
      <c r="I140" s="155">
        <f t="shared" si="20"/>
        <v>23026.164350219606</v>
      </c>
    </row>
    <row r="141" spans="1:9" ht="58.9" customHeight="1" x14ac:dyDescent="0.3">
      <c r="A141" s="97" t="s">
        <v>112</v>
      </c>
      <c r="B141" s="68" t="s">
        <v>10</v>
      </c>
      <c r="C141" s="152">
        <v>29546.334846014495</v>
      </c>
      <c r="D141" s="152">
        <v>32687.383888374959</v>
      </c>
      <c r="E141" s="152">
        <v>33511.098520480147</v>
      </c>
      <c r="F141" s="152">
        <v>30937.591672971557</v>
      </c>
      <c r="G141" s="152">
        <v>34931.29305946864</v>
      </c>
      <c r="H141" s="152">
        <v>36255.733184536271</v>
      </c>
      <c r="I141" s="152">
        <v>36392.907138688257</v>
      </c>
    </row>
    <row r="142" spans="1:9" x14ac:dyDescent="0.3">
      <c r="A142" s="98" t="s">
        <v>111</v>
      </c>
      <c r="B142" s="68"/>
      <c r="C142" s="154"/>
      <c r="D142" s="153"/>
      <c r="E142" s="69"/>
      <c r="F142" s="69"/>
      <c r="G142" s="70"/>
      <c r="H142" s="69"/>
      <c r="I142" s="70"/>
    </row>
    <row r="143" spans="1:9" s="171" customFormat="1" ht="25.5" customHeight="1" x14ac:dyDescent="0.3">
      <c r="A143" s="189" t="s">
        <v>288</v>
      </c>
      <c r="B143" s="190" t="s">
        <v>10</v>
      </c>
      <c r="C143" s="195">
        <v>45696.272839036748</v>
      </c>
      <c r="D143" s="195">
        <v>54004.478641169153</v>
      </c>
      <c r="E143" s="195">
        <v>57883.276482164823</v>
      </c>
      <c r="F143" s="195">
        <v>60334.822520900576</v>
      </c>
      <c r="G143" s="195">
        <v>58805.926032527881</v>
      </c>
      <c r="H143" s="195">
        <v>58849.82962064859</v>
      </c>
      <c r="I143" s="195">
        <v>58849.82962064859</v>
      </c>
    </row>
    <row r="144" spans="1:9" s="171" customFormat="1" x14ac:dyDescent="0.3">
      <c r="A144" s="191" t="s">
        <v>46</v>
      </c>
      <c r="B144" s="190" t="s">
        <v>10</v>
      </c>
      <c r="C144" s="195">
        <v>28656.507521255724</v>
      </c>
      <c r="D144" s="195">
        <v>30892.179072276162</v>
      </c>
      <c r="E144" s="195">
        <v>31059.823891364311</v>
      </c>
      <c r="F144" s="195">
        <v>27426.942046774453</v>
      </c>
      <c r="G144" s="195">
        <v>32682.951410990878</v>
      </c>
      <c r="H144" s="195">
        <v>34426.490558030979</v>
      </c>
      <c r="I144" s="195">
        <v>34426.490558030979</v>
      </c>
    </row>
    <row r="145" spans="1:10" s="171" customFormat="1" ht="37.5" x14ac:dyDescent="0.2">
      <c r="A145" s="192" t="s">
        <v>264</v>
      </c>
      <c r="B145" s="190" t="s">
        <v>10</v>
      </c>
      <c r="C145" s="195">
        <v>28334.303740983058</v>
      </c>
      <c r="D145" s="195">
        <v>30216.012086934414</v>
      </c>
      <c r="E145" s="195">
        <v>32078.216733001653</v>
      </c>
      <c r="F145" s="195">
        <v>32060.274833465388</v>
      </c>
      <c r="G145" s="195">
        <v>33996.257373101733</v>
      </c>
      <c r="H145" s="195">
        <v>34645.577173392339</v>
      </c>
      <c r="I145" s="195">
        <v>36059.783925140284</v>
      </c>
    </row>
    <row r="146" spans="1:10" s="171" customFormat="1" x14ac:dyDescent="0.3">
      <c r="A146" s="193" t="s">
        <v>170</v>
      </c>
      <c r="B146" s="190" t="s">
        <v>10</v>
      </c>
      <c r="C146" s="195">
        <v>35821</v>
      </c>
      <c r="D146" s="195">
        <v>37627</v>
      </c>
      <c r="E146" s="195">
        <v>39659</v>
      </c>
      <c r="F146" s="195">
        <v>43669.519176379166</v>
      </c>
      <c r="G146" s="195">
        <v>42276.493999999992</v>
      </c>
      <c r="H146" s="195">
        <v>45193.572085999993</v>
      </c>
      <c r="I146" s="195">
        <v>48221.541415761989</v>
      </c>
    </row>
    <row r="147" spans="1:10" s="171" customFormat="1" x14ac:dyDescent="0.3">
      <c r="A147" s="194" t="s">
        <v>285</v>
      </c>
      <c r="B147" s="190" t="s">
        <v>10</v>
      </c>
      <c r="C147" s="195">
        <v>18431.055104712043</v>
      </c>
      <c r="D147" s="195">
        <v>29952.757374456309</v>
      </c>
      <c r="E147" s="195">
        <v>32859.166101095798</v>
      </c>
      <c r="F147" s="195">
        <v>35430.607116578693</v>
      </c>
      <c r="G147" s="195">
        <v>32859.166101095798</v>
      </c>
      <c r="H147" s="195">
        <v>32859.166101095798</v>
      </c>
      <c r="I147" s="195">
        <v>32859.166101095798</v>
      </c>
    </row>
    <row r="148" spans="1:10" ht="60" customHeight="1" x14ac:dyDescent="0.2">
      <c r="A148" s="116" t="s">
        <v>73</v>
      </c>
      <c r="B148" s="68" t="s">
        <v>10</v>
      </c>
      <c r="C148" s="160">
        <v>14664</v>
      </c>
      <c r="D148" s="275">
        <f>C148*102.5%</f>
        <v>15030.599999999999</v>
      </c>
      <c r="E148" s="275">
        <f>D148*101.7%</f>
        <v>15286.120200000001</v>
      </c>
      <c r="F148" s="280">
        <f>E148*102%</f>
        <v>15591.842604000001</v>
      </c>
      <c r="G148" s="280">
        <f>E148*102.3%</f>
        <v>15637.700964600001</v>
      </c>
      <c r="H148" s="280">
        <f>F148*102.2%</f>
        <v>15934.863141288002</v>
      </c>
      <c r="I148" s="280">
        <f>H148*102.2%</f>
        <v>16285.430130396338</v>
      </c>
    </row>
    <row r="149" spans="1:10" ht="42.75" customHeight="1" x14ac:dyDescent="0.2">
      <c r="A149" s="117" t="s">
        <v>77</v>
      </c>
      <c r="B149" s="68" t="s">
        <v>7</v>
      </c>
      <c r="C149" s="160">
        <v>4614.8999999999996</v>
      </c>
      <c r="D149" s="160">
        <v>4809.9380000000001</v>
      </c>
      <c r="E149" s="160">
        <v>4847.2070000000003</v>
      </c>
      <c r="F149" s="160">
        <v>4944.2</v>
      </c>
      <c r="G149" s="258">
        <v>4961.1970000000001</v>
      </c>
      <c r="H149" s="160">
        <v>5090.5169999999998</v>
      </c>
      <c r="I149" s="258">
        <v>5203.8559999999998</v>
      </c>
    </row>
    <row r="150" spans="1:10" x14ac:dyDescent="0.2">
      <c r="A150" s="118" t="s">
        <v>24</v>
      </c>
      <c r="B150" s="68"/>
      <c r="C150" s="154"/>
      <c r="D150" s="276"/>
      <c r="E150" s="277"/>
      <c r="F150" s="277"/>
      <c r="G150" s="278"/>
      <c r="H150" s="277"/>
      <c r="I150" s="278"/>
    </row>
    <row r="151" spans="1:10" ht="37.5" x14ac:dyDescent="0.2">
      <c r="A151" s="118" t="s">
        <v>78</v>
      </c>
      <c r="B151" s="68" t="s">
        <v>7</v>
      </c>
      <c r="C151" s="152">
        <v>294.74640000000005</v>
      </c>
      <c r="D151" s="279">
        <f>D107*D148*1000/1000000*12</f>
        <v>271.45263599999998</v>
      </c>
      <c r="E151" s="279">
        <f>D151*101.7%</f>
        <v>276.06733081200002</v>
      </c>
      <c r="F151" s="279">
        <f>E151*102%</f>
        <v>281.58867742824003</v>
      </c>
      <c r="G151" s="279">
        <f>E151*102.3%</f>
        <v>282.41687942067603</v>
      </c>
      <c r="H151" s="279">
        <f>F151*102.2%</f>
        <v>287.7836283316613</v>
      </c>
      <c r="I151" s="279">
        <f>H151*102.2%</f>
        <v>294.11486815495783</v>
      </c>
    </row>
    <row r="152" spans="1:10" ht="37.5" x14ac:dyDescent="0.2">
      <c r="A152" s="118" t="s">
        <v>83</v>
      </c>
      <c r="B152" s="68" t="s">
        <v>7</v>
      </c>
      <c r="C152" s="152">
        <v>10.962470399999999</v>
      </c>
      <c r="D152" s="152">
        <f>C152*102.8%</f>
        <v>11.269419571199998</v>
      </c>
      <c r="E152" s="152">
        <f>D152*101.7%</f>
        <v>11.460999703910399</v>
      </c>
      <c r="F152" s="152">
        <f>E152*102%</f>
        <v>11.690219697988608</v>
      </c>
      <c r="G152" s="152">
        <f>F152*102.3%</f>
        <v>11.959094751042345</v>
      </c>
      <c r="H152" s="152">
        <f>F152*102.2%</f>
        <v>11.947404531344358</v>
      </c>
      <c r="I152" s="152">
        <f>H152*102.2%</f>
        <v>12.210247431033933</v>
      </c>
    </row>
    <row r="153" spans="1:10" ht="37.5" x14ac:dyDescent="0.2">
      <c r="A153" s="118" t="s">
        <v>87</v>
      </c>
      <c r="B153" s="68" t="s">
        <v>7</v>
      </c>
      <c r="C153" s="259">
        <v>750.24191594000001</v>
      </c>
      <c r="D153" s="259">
        <v>847.9698992399999</v>
      </c>
      <c r="E153" s="259">
        <v>888.3503913699999</v>
      </c>
      <c r="F153" s="259">
        <v>978.2</v>
      </c>
      <c r="G153" s="259">
        <v>925.30121605115994</v>
      </c>
      <c r="H153" s="259">
        <v>969.26034779435099</v>
      </c>
      <c r="I153" s="259">
        <v>976.31691284360306</v>
      </c>
    </row>
    <row r="154" spans="1:10" ht="19.5" x14ac:dyDescent="0.2">
      <c r="A154" s="117" t="s">
        <v>25</v>
      </c>
      <c r="B154" s="68" t="s">
        <v>7</v>
      </c>
      <c r="C154" s="160">
        <v>77.8</v>
      </c>
      <c r="D154" s="160">
        <v>72.707999999999998</v>
      </c>
      <c r="E154" s="151">
        <f>D154*102.3%</f>
        <v>74.380283999999989</v>
      </c>
      <c r="F154" s="151">
        <f>E154*101.9%</f>
        <v>75.793509396000005</v>
      </c>
      <c r="G154" s="151">
        <f>E154*102.4%</f>
        <v>76.165410815999991</v>
      </c>
      <c r="H154" s="151">
        <f>F154*102%</f>
        <v>77.309379583920006</v>
      </c>
      <c r="I154" s="151">
        <f>H154*102%</f>
        <v>78.855567175598409</v>
      </c>
      <c r="J154" t="s">
        <v>305</v>
      </c>
    </row>
    <row r="155" spans="1:10" ht="19.5" x14ac:dyDescent="0.2">
      <c r="A155" s="117" t="s">
        <v>2</v>
      </c>
      <c r="B155" s="68" t="s">
        <v>7</v>
      </c>
      <c r="C155" s="162"/>
      <c r="D155" s="153"/>
      <c r="E155" s="69"/>
      <c r="F155" s="69"/>
      <c r="G155" s="70"/>
      <c r="H155" s="69"/>
      <c r="I155" s="70"/>
    </row>
    <row r="156" spans="1:10" ht="39" x14ac:dyDescent="0.2">
      <c r="A156" s="139" t="s">
        <v>98</v>
      </c>
      <c r="B156" s="75" t="s">
        <v>7</v>
      </c>
      <c r="C156" s="163">
        <f>C149+C154</f>
        <v>4692.7</v>
      </c>
      <c r="D156" s="163">
        <f>D149+D154</f>
        <v>4882.6459999999997</v>
      </c>
      <c r="E156" s="163">
        <f t="shared" ref="E156:I156" si="21">E149+E154</f>
        <v>4921.5872840000002</v>
      </c>
      <c r="F156" s="163">
        <f t="shared" si="21"/>
        <v>5019.9935093960003</v>
      </c>
      <c r="G156" s="163">
        <f t="shared" si="21"/>
        <v>5037.3624108160002</v>
      </c>
      <c r="H156" s="163">
        <f t="shared" si="21"/>
        <v>5167.8263795839202</v>
      </c>
      <c r="I156" s="163">
        <f t="shared" si="21"/>
        <v>5282.7115671755982</v>
      </c>
    </row>
    <row r="157" spans="1:10" x14ac:dyDescent="0.2">
      <c r="A157" s="324" t="s">
        <v>108</v>
      </c>
      <c r="B157" s="325"/>
      <c r="C157" s="325"/>
      <c r="D157" s="325"/>
      <c r="E157" s="325"/>
      <c r="F157" s="325"/>
      <c r="G157" s="325"/>
      <c r="H157" s="325"/>
      <c r="I157" s="326"/>
    </row>
    <row r="158" spans="1:10" s="171" customFormat="1" ht="39" x14ac:dyDescent="0.2">
      <c r="A158" s="177" t="s">
        <v>105</v>
      </c>
      <c r="B158" s="169" t="s">
        <v>7</v>
      </c>
      <c r="C158" s="178">
        <f>C160+C161+C168+C169+C170+C171</f>
        <v>304.48899976999996</v>
      </c>
      <c r="D158" s="178">
        <f>D160+D161+D168+D169+D170+D171</f>
        <v>316.86663099999993</v>
      </c>
      <c r="E158" s="178">
        <f>E160+E161+E168+E169+E170+E171</f>
        <v>323.13247430000001</v>
      </c>
      <c r="F158" s="178">
        <f>F160+F161+F168+F169+F170+F171</f>
        <v>332.08646255240001</v>
      </c>
      <c r="G158" s="178">
        <f t="shared" ref="G158:H158" si="22">G160+G161+G168+G169+G170+G171</f>
        <v>329.50817860379999</v>
      </c>
      <c r="H158" s="178">
        <f t="shared" si="22"/>
        <v>337.70085624851572</v>
      </c>
      <c r="I158" s="178">
        <f>I160+I161+I168+I169+I170+I171</f>
        <v>344.90406498274359</v>
      </c>
    </row>
    <row r="159" spans="1:10" s="171" customFormat="1" x14ac:dyDescent="0.2">
      <c r="A159" s="179" t="s">
        <v>24</v>
      </c>
      <c r="B159" s="169" t="s">
        <v>7</v>
      </c>
      <c r="C159" s="180"/>
      <c r="D159" s="180"/>
      <c r="E159" s="180"/>
      <c r="F159" s="180"/>
      <c r="G159" s="180"/>
      <c r="H159" s="180"/>
      <c r="I159" s="180"/>
    </row>
    <row r="160" spans="1:10" s="171" customFormat="1" x14ac:dyDescent="0.2">
      <c r="A160" s="181" t="s">
        <v>103</v>
      </c>
      <c r="B160" s="169" t="s">
        <v>7</v>
      </c>
      <c r="C160" s="182">
        <v>247.4725</v>
      </c>
      <c r="D160" s="182">
        <v>257.93169</v>
      </c>
      <c r="E160" s="182">
        <v>259.93147429999999</v>
      </c>
      <c r="F160" s="182">
        <v>267.27330655239996</v>
      </c>
      <c r="G160" s="182">
        <v>266.0441976038</v>
      </c>
      <c r="H160" s="182">
        <v>272.97897000851566</v>
      </c>
      <c r="I160" s="182">
        <v>279.05675729314362</v>
      </c>
    </row>
    <row r="161" spans="1:9" s="171" customFormat="1" x14ac:dyDescent="0.2">
      <c r="A161" s="181" t="s">
        <v>104</v>
      </c>
      <c r="B161" s="169" t="s">
        <v>7</v>
      </c>
      <c r="C161" s="182">
        <v>31.358500000000006</v>
      </c>
      <c r="D161" s="182">
        <v>32.549399999999999</v>
      </c>
      <c r="E161" s="182">
        <v>32.151000000000003</v>
      </c>
      <c r="F161" s="182">
        <v>36.097999999999999</v>
      </c>
      <c r="G161" s="182">
        <v>36.512999999999998</v>
      </c>
      <c r="H161" s="182">
        <v>37.458000000000006</v>
      </c>
      <c r="I161" s="182">
        <v>38.258000000000003</v>
      </c>
    </row>
    <row r="162" spans="1:9" s="171" customFormat="1" x14ac:dyDescent="0.2">
      <c r="A162" s="183" t="s">
        <v>99</v>
      </c>
      <c r="B162" s="169" t="s">
        <v>7</v>
      </c>
      <c r="C162" s="182">
        <v>23.855000000000004</v>
      </c>
      <c r="D162" s="182">
        <v>25.665399999999998</v>
      </c>
      <c r="E162" s="182">
        <v>22.737000000000002</v>
      </c>
      <c r="F162" s="182">
        <v>25.940999999999999</v>
      </c>
      <c r="G162" s="182">
        <v>26.048999999999999</v>
      </c>
      <c r="H162" s="182">
        <v>26.551000000000005</v>
      </c>
      <c r="I162" s="182">
        <v>27.075000000000003</v>
      </c>
    </row>
    <row r="163" spans="1:9" s="171" customFormat="1" ht="31.5" x14ac:dyDescent="0.2">
      <c r="A163" s="184" t="s">
        <v>113</v>
      </c>
      <c r="B163" s="169" t="s">
        <v>7</v>
      </c>
      <c r="C163" s="182">
        <v>3235.8529999999996</v>
      </c>
      <c r="D163" s="182">
        <v>3235.8529999999996</v>
      </c>
      <c r="E163" s="182">
        <v>3235.8529999999996</v>
      </c>
      <c r="F163" s="182">
        <v>3235.8529999999996</v>
      </c>
      <c r="G163" s="182">
        <v>3235.8529999999996</v>
      </c>
      <c r="H163" s="182">
        <v>3235.8529999999996</v>
      </c>
      <c r="I163" s="182">
        <v>3235.8529999999996</v>
      </c>
    </row>
    <row r="164" spans="1:9" s="171" customFormat="1" x14ac:dyDescent="0.2">
      <c r="A164" s="184" t="s">
        <v>110</v>
      </c>
      <c r="B164" s="169" t="s">
        <v>7</v>
      </c>
      <c r="C164" s="182">
        <v>24.713999999999999</v>
      </c>
      <c r="D164" s="182">
        <v>24.696000000000002</v>
      </c>
      <c r="E164" s="182">
        <v>24.502999999999997</v>
      </c>
      <c r="F164" s="182">
        <v>24.855999999999998</v>
      </c>
      <c r="G164" s="182">
        <v>24.864999999999998</v>
      </c>
      <c r="H164" s="182">
        <v>25.251000000000001</v>
      </c>
      <c r="I164" s="182">
        <v>25.651999999999997</v>
      </c>
    </row>
    <row r="165" spans="1:9" s="171" customFormat="1" x14ac:dyDescent="0.2">
      <c r="A165" s="183" t="s">
        <v>100</v>
      </c>
      <c r="B165" s="169" t="s">
        <v>7</v>
      </c>
      <c r="C165" s="182">
        <v>7.5035000000000007</v>
      </c>
      <c r="D165" s="182">
        <v>6.8839999999999995</v>
      </c>
      <c r="E165" s="182">
        <v>9.4139999999999997</v>
      </c>
      <c r="F165" s="182">
        <v>10.156999999999996</v>
      </c>
      <c r="G165" s="182">
        <v>10.463999999999999</v>
      </c>
      <c r="H165" s="182">
        <v>10.907000000000002</v>
      </c>
      <c r="I165" s="182">
        <v>11.183000000000002</v>
      </c>
    </row>
    <row r="166" spans="1:9" s="171" customFormat="1" ht="36.6" customHeight="1" x14ac:dyDescent="0.2">
      <c r="A166" s="184" t="s">
        <v>114</v>
      </c>
      <c r="B166" s="169" t="s">
        <v>7</v>
      </c>
      <c r="C166" s="182">
        <v>3510.2089999999998</v>
      </c>
      <c r="D166" s="182">
        <v>3510.2200000000003</v>
      </c>
      <c r="E166" s="182">
        <v>3510.2200000000003</v>
      </c>
      <c r="F166" s="182">
        <v>3510.2200000000003</v>
      </c>
      <c r="G166" s="182">
        <v>3510.2200000000003</v>
      </c>
      <c r="H166" s="182">
        <v>3510.2200000000003</v>
      </c>
      <c r="I166" s="182">
        <v>3510.2200000000003</v>
      </c>
    </row>
    <row r="167" spans="1:9" s="171" customFormat="1" x14ac:dyDescent="0.2">
      <c r="A167" s="181" t="s">
        <v>109</v>
      </c>
      <c r="B167" s="169"/>
      <c r="C167" s="182">
        <v>25.657999770000004</v>
      </c>
      <c r="D167" s="182">
        <v>26.385541000000003</v>
      </c>
      <c r="E167" s="182">
        <v>31.049999999999997</v>
      </c>
      <c r="F167" s="182">
        <v>28.715155999999997</v>
      </c>
      <c r="G167" s="182">
        <v>26.950980999999999</v>
      </c>
      <c r="H167" s="182">
        <v>27.263886239999998</v>
      </c>
      <c r="I167" s="182">
        <v>27.589307689599998</v>
      </c>
    </row>
    <row r="168" spans="1:9" s="171" customFormat="1" ht="31.5" x14ac:dyDescent="0.2">
      <c r="A168" s="168" t="s">
        <v>286</v>
      </c>
      <c r="B168" s="169" t="s">
        <v>7</v>
      </c>
      <c r="C168" s="170">
        <v>9.4334310000000006</v>
      </c>
      <c r="D168" s="170">
        <v>13.282833999999999</v>
      </c>
      <c r="E168" s="170">
        <v>20.132999999999999</v>
      </c>
      <c r="F168" s="170">
        <v>20.898053999999998</v>
      </c>
      <c r="G168" s="170">
        <v>19.126349999999999</v>
      </c>
      <c r="H168" s="170">
        <v>19.126349999999999</v>
      </c>
      <c r="I168" s="170">
        <v>19.126349999999999</v>
      </c>
    </row>
    <row r="169" spans="1:9" s="171" customFormat="1" x14ac:dyDescent="0.2">
      <c r="A169" s="168" t="s">
        <v>101</v>
      </c>
      <c r="B169" s="169" t="s">
        <v>7</v>
      </c>
      <c r="C169" s="170">
        <v>16.030877</v>
      </c>
      <c r="D169" s="170">
        <v>12.791252</v>
      </c>
      <c r="E169" s="170">
        <v>3.3860000000000001</v>
      </c>
      <c r="F169" s="170">
        <v>0</v>
      </c>
      <c r="G169" s="170">
        <v>0</v>
      </c>
      <c r="H169" s="170">
        <v>0</v>
      </c>
      <c r="I169" s="170">
        <v>0</v>
      </c>
    </row>
    <row r="170" spans="1:9" s="174" customFormat="1" ht="23.45" customHeight="1" x14ac:dyDescent="0.2">
      <c r="A170" s="172" t="s">
        <v>287</v>
      </c>
      <c r="B170" s="173" t="s">
        <v>7</v>
      </c>
      <c r="C170" s="170">
        <v>2.2227700000000002E-3</v>
      </c>
      <c r="D170" s="170">
        <v>2.2820000000000002E-3</v>
      </c>
      <c r="E170" s="170">
        <v>2E-3</v>
      </c>
      <c r="F170" s="170">
        <v>2E-3</v>
      </c>
      <c r="G170" s="170">
        <v>2E-3</v>
      </c>
      <c r="H170" s="170">
        <v>2E-3</v>
      </c>
      <c r="I170" s="170">
        <v>2E-3</v>
      </c>
    </row>
    <row r="171" spans="1:9" ht="31.5" x14ac:dyDescent="0.2">
      <c r="A171" s="175" t="s">
        <v>102</v>
      </c>
      <c r="B171" s="173" t="s">
        <v>7</v>
      </c>
      <c r="C171" s="176">
        <v>0.191469</v>
      </c>
      <c r="D171" s="176">
        <v>0.30917299999999998</v>
      </c>
      <c r="E171" s="176">
        <v>7.5289999999999999</v>
      </c>
      <c r="F171" s="176">
        <v>7.8151020000000004</v>
      </c>
      <c r="G171" s="176">
        <v>7.8226309999999994</v>
      </c>
      <c r="H171" s="176">
        <v>8.1355362400000004</v>
      </c>
      <c r="I171" s="176">
        <v>8.4609576896000007</v>
      </c>
    </row>
  </sheetData>
  <mergeCells count="17">
    <mergeCell ref="A9:I9"/>
    <mergeCell ref="A27:I27"/>
    <mergeCell ref="A157:I157"/>
    <mergeCell ref="A80:I80"/>
    <mergeCell ref="F7:G7"/>
    <mergeCell ref="H1:I1"/>
    <mergeCell ref="H2:I2"/>
    <mergeCell ref="D6:D8"/>
    <mergeCell ref="C6:C8"/>
    <mergeCell ref="E6:E8"/>
    <mergeCell ref="A4:I4"/>
    <mergeCell ref="H7:H8"/>
    <mergeCell ref="I7:I8"/>
    <mergeCell ref="F6:I6"/>
    <mergeCell ref="A6:A8"/>
    <mergeCell ref="B6:B8"/>
    <mergeCell ref="A1:G1"/>
  </mergeCells>
  <phoneticPr fontId="14" type="noConversion"/>
  <printOptions horizontalCentered="1"/>
  <pageMargins left="0.39370078740157483" right="0.39370078740157483" top="0.19685039370078741" bottom="0.19685039370078741" header="0" footer="0"/>
  <pageSetup paperSize="9" scale="50" fitToHeight="0" orientation="portrait" r:id="rId1"/>
  <headerFooter alignWithMargins="0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Лист3">
    <tabColor indexed="50"/>
  </sheetPr>
  <dimension ref="A1:AG337"/>
  <sheetViews>
    <sheetView view="pageBreakPreview" zoomScale="60" zoomScaleNormal="60" workbookViewId="0">
      <pane xSplit="9" ySplit="1" topLeftCell="L8" activePane="bottomRight" state="frozen"/>
      <selection pane="topRight" activeCell="J1" sqref="J1"/>
      <selection pane="bottomLeft" activeCell="A11" sqref="A11"/>
      <selection pane="bottomRight" activeCell="A21" sqref="A21:V21"/>
    </sheetView>
  </sheetViews>
  <sheetFormatPr defaultRowHeight="12.75" x14ac:dyDescent="0.2"/>
  <cols>
    <col min="1" max="1" width="94.28515625" customWidth="1"/>
    <col min="2" max="2" width="24.28515625" style="58" customWidth="1"/>
    <col min="3" max="3" width="13.5703125" hidden="1" customWidth="1"/>
    <col min="4" max="5" width="13.5703125" bestFit="1" customWidth="1"/>
    <col min="6" max="6" width="13.7109375" customWidth="1"/>
    <col min="7" max="8" width="13.5703125" bestFit="1" customWidth="1"/>
    <col min="9" max="9" width="13.5703125" customWidth="1"/>
    <col min="10" max="10" width="24.140625" style="48" customWidth="1"/>
    <col min="11" max="11" width="17.28515625" hidden="1" customWidth="1"/>
    <col min="12" max="12" width="22" customWidth="1"/>
    <col min="13" max="13" width="26" customWidth="1"/>
    <col min="14" max="14" width="17.28515625" bestFit="1" customWidth="1"/>
    <col min="15" max="15" width="22.28515625" customWidth="1"/>
    <col min="16" max="16" width="21.5703125" customWidth="1"/>
    <col min="17" max="17" width="20.85546875" customWidth="1"/>
    <col min="18" max="18" width="16.5703125" customWidth="1"/>
    <col min="19" max="20" width="16.5703125" bestFit="1" customWidth="1"/>
    <col min="21" max="21" width="16.7109375" bestFit="1" customWidth="1"/>
    <col min="22" max="22" width="17.85546875" customWidth="1"/>
    <col min="24" max="24" width="23.7109375" customWidth="1"/>
  </cols>
  <sheetData>
    <row r="1" spans="1:33" ht="22.5" customHeight="1" x14ac:dyDescent="0.2">
      <c r="A1" s="45"/>
      <c r="B1" s="48"/>
      <c r="C1" s="45"/>
      <c r="D1" s="45"/>
      <c r="E1" s="45"/>
      <c r="F1" s="45"/>
      <c r="G1" s="45"/>
      <c r="H1" s="45"/>
      <c r="I1" s="45"/>
      <c r="J1" s="46"/>
      <c r="K1" s="46"/>
      <c r="L1" s="46"/>
      <c r="M1" s="46"/>
      <c r="N1" s="46"/>
      <c r="O1" s="339" t="s">
        <v>64</v>
      </c>
      <c r="P1" s="339"/>
      <c r="Q1" s="339"/>
      <c r="R1" s="339"/>
      <c r="S1" s="339"/>
      <c r="T1" s="339"/>
      <c r="U1" s="339"/>
      <c r="V1" s="339"/>
      <c r="W1" s="145"/>
      <c r="X1" s="145"/>
      <c r="Y1" s="145"/>
      <c r="Z1" s="145"/>
      <c r="AA1" s="145"/>
      <c r="AB1" s="145"/>
    </row>
    <row r="2" spans="1:33" ht="82.5" customHeight="1" x14ac:dyDescent="0.2">
      <c r="A2" s="340" t="s">
        <v>70</v>
      </c>
      <c r="B2" s="340"/>
      <c r="C2" s="340"/>
      <c r="D2" s="340"/>
      <c r="E2" s="340"/>
      <c r="F2" s="340"/>
      <c r="G2" s="340"/>
      <c r="H2" s="340"/>
      <c r="I2" s="340"/>
      <c r="J2" s="340"/>
      <c r="K2" s="340"/>
      <c r="L2" s="340"/>
      <c r="M2" s="340"/>
      <c r="N2" s="340"/>
      <c r="O2" s="340"/>
      <c r="P2" s="340"/>
      <c r="Q2" s="340"/>
      <c r="R2" s="340"/>
      <c r="S2" s="340"/>
      <c r="T2" s="340"/>
      <c r="U2" s="340"/>
      <c r="V2" s="146"/>
    </row>
    <row r="3" spans="1:33" ht="20.25" x14ac:dyDescent="0.2">
      <c r="A3" s="341" t="s">
        <v>26</v>
      </c>
      <c r="B3" s="341"/>
      <c r="C3" s="341"/>
      <c r="D3" s="341"/>
      <c r="E3" s="341"/>
      <c r="F3" s="341"/>
      <c r="G3" s="341"/>
      <c r="H3" s="341"/>
      <c r="I3" s="341"/>
      <c r="J3" s="341"/>
      <c r="K3" s="341"/>
      <c r="L3" s="341"/>
      <c r="M3" s="341"/>
      <c r="N3" s="341"/>
      <c r="O3" s="341"/>
      <c r="P3" s="341"/>
      <c r="Q3" s="341"/>
      <c r="R3" s="341"/>
      <c r="S3" s="341"/>
      <c r="T3" s="341"/>
      <c r="U3" s="341"/>
      <c r="V3" s="147"/>
    </row>
    <row r="5" spans="1:33" ht="97.5" customHeight="1" x14ac:dyDescent="0.25">
      <c r="A5" s="330" t="s">
        <v>58</v>
      </c>
      <c r="B5" s="342" t="s">
        <v>71</v>
      </c>
      <c r="C5" s="343"/>
      <c r="D5" s="343"/>
      <c r="E5" s="343"/>
      <c r="F5" s="343"/>
      <c r="G5" s="343"/>
      <c r="H5" s="343"/>
      <c r="I5" s="344"/>
      <c r="J5" s="345" t="s">
        <v>27</v>
      </c>
      <c r="K5" s="342" t="s">
        <v>297</v>
      </c>
      <c r="L5" s="343"/>
      <c r="M5" s="343"/>
      <c r="N5" s="343"/>
      <c r="O5" s="343"/>
      <c r="P5" s="343"/>
      <c r="Q5" s="344"/>
      <c r="R5" s="346" t="s">
        <v>131</v>
      </c>
      <c r="S5" s="347"/>
      <c r="T5" s="347"/>
      <c r="U5" s="347"/>
      <c r="V5" s="347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 spans="1:33" ht="78.75" customHeight="1" x14ac:dyDescent="0.25">
      <c r="A6" s="330"/>
      <c r="B6" s="148" t="s">
        <v>5</v>
      </c>
      <c r="C6" s="148" t="s">
        <v>298</v>
      </c>
      <c r="D6" s="148" t="s">
        <v>130</v>
      </c>
      <c r="E6" s="148" t="s">
        <v>158</v>
      </c>
      <c r="F6" s="148" t="s">
        <v>271</v>
      </c>
      <c r="G6" s="148" t="s">
        <v>270</v>
      </c>
      <c r="H6" s="148" t="s">
        <v>275</v>
      </c>
      <c r="I6" s="148" t="s">
        <v>282</v>
      </c>
      <c r="J6" s="345"/>
      <c r="K6" s="148" t="s">
        <v>298</v>
      </c>
      <c r="L6" s="148" t="s">
        <v>130</v>
      </c>
      <c r="M6" s="148" t="s">
        <v>158</v>
      </c>
      <c r="N6" s="148" t="s">
        <v>271</v>
      </c>
      <c r="O6" s="148" t="s">
        <v>270</v>
      </c>
      <c r="P6" s="148" t="s">
        <v>275</v>
      </c>
      <c r="Q6" s="148" t="s">
        <v>282</v>
      </c>
      <c r="R6" s="148">
        <v>2020</v>
      </c>
      <c r="S6" s="148">
        <v>2021</v>
      </c>
      <c r="T6" s="148">
        <v>2022</v>
      </c>
      <c r="U6" s="148">
        <v>2023</v>
      </c>
      <c r="V6" s="148">
        <v>2024</v>
      </c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 spans="1:33" ht="81" x14ac:dyDescent="0.25">
      <c r="A7" s="132" t="s">
        <v>28</v>
      </c>
      <c r="B7" s="133">
        <v>1</v>
      </c>
      <c r="C7" s="133">
        <v>2</v>
      </c>
      <c r="D7" s="133">
        <v>2</v>
      </c>
      <c r="E7" s="133">
        <v>3</v>
      </c>
      <c r="F7" s="133">
        <v>4</v>
      </c>
      <c r="G7" s="133">
        <v>5</v>
      </c>
      <c r="H7" s="133">
        <v>6</v>
      </c>
      <c r="I7" s="133">
        <v>7</v>
      </c>
      <c r="J7" s="133">
        <v>8</v>
      </c>
      <c r="K7" s="133">
        <v>9</v>
      </c>
      <c r="L7" s="133">
        <v>9</v>
      </c>
      <c r="M7" s="133">
        <v>10</v>
      </c>
      <c r="N7" s="133">
        <v>11</v>
      </c>
      <c r="O7" s="133">
        <v>12</v>
      </c>
      <c r="P7" s="133">
        <v>13</v>
      </c>
      <c r="Q7" s="202">
        <v>14</v>
      </c>
      <c r="R7" s="134" t="s">
        <v>299</v>
      </c>
      <c r="S7" s="134" t="s">
        <v>300</v>
      </c>
      <c r="T7" s="134" t="s">
        <v>301</v>
      </c>
      <c r="U7" s="134" t="s">
        <v>302</v>
      </c>
      <c r="V7" s="134" t="s">
        <v>303</v>
      </c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 spans="1:33" ht="27" x14ac:dyDescent="0.35">
      <c r="A8" s="331" t="s">
        <v>29</v>
      </c>
      <c r="B8" s="332"/>
      <c r="C8" s="332"/>
      <c r="D8" s="332"/>
      <c r="E8" s="332"/>
      <c r="F8" s="332"/>
      <c r="G8" s="332"/>
      <c r="H8" s="332"/>
      <c r="I8" s="332"/>
      <c r="J8" s="332"/>
      <c r="K8" s="332"/>
      <c r="L8" s="332"/>
      <c r="M8" s="332"/>
      <c r="N8" s="332"/>
      <c r="O8" s="332"/>
      <c r="P8" s="332"/>
      <c r="Q8" s="332"/>
      <c r="R8" s="332"/>
      <c r="S8" s="332"/>
      <c r="T8" s="332"/>
      <c r="U8" s="332"/>
      <c r="V8" s="332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 spans="1:33" ht="27" x14ac:dyDescent="0.2">
      <c r="A9" s="333" t="s">
        <v>255</v>
      </c>
      <c r="B9" s="334"/>
      <c r="C9" s="334"/>
      <c r="D9" s="334"/>
      <c r="E9" s="334"/>
      <c r="F9" s="334"/>
      <c r="G9" s="334"/>
      <c r="H9" s="334"/>
      <c r="I9" s="334"/>
      <c r="J9" s="334"/>
      <c r="K9" s="334"/>
      <c r="L9" s="334"/>
      <c r="M9" s="334"/>
      <c r="N9" s="334"/>
      <c r="O9" s="334"/>
      <c r="P9" s="334"/>
      <c r="Q9" s="334"/>
      <c r="R9" s="334"/>
      <c r="S9" s="334"/>
      <c r="T9" s="334"/>
      <c r="U9" s="334"/>
      <c r="V9" s="334"/>
    </row>
    <row r="10" spans="1:33" ht="26.25" x14ac:dyDescent="0.4">
      <c r="A10" s="131" t="s">
        <v>159</v>
      </c>
      <c r="B10" s="30"/>
      <c r="C10" s="13"/>
      <c r="D10" s="13"/>
      <c r="E10" s="13"/>
      <c r="F10" s="13"/>
      <c r="G10" s="13"/>
      <c r="H10" s="13"/>
      <c r="I10" s="13"/>
      <c r="J10" s="30"/>
      <c r="K10" s="14"/>
      <c r="L10" s="14"/>
      <c r="M10" s="14"/>
      <c r="N10" s="14"/>
      <c r="O10" s="14"/>
      <c r="P10" s="14"/>
      <c r="Q10" s="14"/>
      <c r="R10" s="30"/>
      <c r="S10" s="30"/>
      <c r="T10" s="30"/>
      <c r="U10" s="30"/>
      <c r="V10" s="30"/>
    </row>
    <row r="11" spans="1:33" ht="52.5" x14ac:dyDescent="0.4">
      <c r="A11" s="12" t="s">
        <v>304</v>
      </c>
      <c r="B11" s="51" t="s">
        <v>35</v>
      </c>
      <c r="C11" s="203">
        <v>656.78</v>
      </c>
      <c r="D11" s="199">
        <v>720.1</v>
      </c>
      <c r="E11" s="199">
        <v>665.3</v>
      </c>
      <c r="F11" s="199">
        <v>683.93</v>
      </c>
      <c r="G11" s="199">
        <v>706.5</v>
      </c>
      <c r="H11" s="199">
        <v>734.05</v>
      </c>
      <c r="I11" s="199">
        <v>765.62</v>
      </c>
      <c r="J11" s="204">
        <v>2280</v>
      </c>
      <c r="K11" s="205">
        <f>C11*J11</f>
        <v>1497458.4</v>
      </c>
      <c r="L11" s="205">
        <f t="shared" ref="L11:Q11" si="0">D11*$J$11</f>
        <v>1641828</v>
      </c>
      <c r="M11" s="205">
        <f t="shared" si="0"/>
        <v>1516884</v>
      </c>
      <c r="N11" s="205">
        <f t="shared" si="0"/>
        <v>1559360.4</v>
      </c>
      <c r="O11" s="205">
        <f t="shared" si="0"/>
        <v>1610820</v>
      </c>
      <c r="P11" s="205">
        <f t="shared" si="0"/>
        <v>1673634</v>
      </c>
      <c r="Q11" s="205">
        <f t="shared" si="0"/>
        <v>1745613.6</v>
      </c>
      <c r="R11" s="206">
        <f>M11/L11*100</f>
        <v>92.389945840855432</v>
      </c>
      <c r="S11" s="206">
        <f>N11/M11*100</f>
        <v>102.80024049301066</v>
      </c>
      <c r="T11" s="206">
        <f t="shared" ref="T11:V20" si="1">O11/N11*100</f>
        <v>103.30004532627608</v>
      </c>
      <c r="U11" s="206">
        <f t="shared" si="1"/>
        <v>103.89950460014154</v>
      </c>
      <c r="V11" s="206">
        <f>Q11/P11*100</f>
        <v>104.30079694843677</v>
      </c>
    </row>
    <row r="12" spans="1:33" ht="26.25" hidden="1" x14ac:dyDescent="0.4">
      <c r="A12" s="12" t="s">
        <v>160</v>
      </c>
      <c r="B12" s="51" t="s">
        <v>35</v>
      </c>
      <c r="C12" s="203"/>
      <c r="D12" s="199"/>
      <c r="E12" s="199"/>
      <c r="F12" s="226"/>
      <c r="G12" s="226"/>
      <c r="H12" s="226"/>
      <c r="I12" s="226"/>
      <c r="J12" s="204">
        <v>394.43</v>
      </c>
      <c r="K12" s="205">
        <f t="shared" ref="K12:K16" si="2">C12*J12</f>
        <v>0</v>
      </c>
      <c r="L12" s="14"/>
      <c r="M12" s="205">
        <f t="shared" ref="M12:M16" si="3">E12*J12</f>
        <v>0</v>
      </c>
      <c r="N12" s="205">
        <f t="shared" ref="N12:N16" si="4">F12*J12</f>
        <v>0</v>
      </c>
      <c r="O12" s="205">
        <f t="shared" ref="O12:O16" si="5">G12*J12</f>
        <v>0</v>
      </c>
      <c r="P12" s="14"/>
      <c r="Q12" s="207"/>
      <c r="R12" s="206" t="e">
        <f t="shared" ref="R12:S19" si="6">M12/L12*100</f>
        <v>#DIV/0!</v>
      </c>
      <c r="S12" s="206" t="e">
        <f t="shared" si="6"/>
        <v>#DIV/0!</v>
      </c>
      <c r="T12" s="206" t="e">
        <f t="shared" si="1"/>
        <v>#DIV/0!</v>
      </c>
      <c r="U12" s="206" t="e">
        <f t="shared" si="1"/>
        <v>#DIV/0!</v>
      </c>
      <c r="V12" s="206" t="e">
        <f t="shared" si="1"/>
        <v>#DIV/0!</v>
      </c>
    </row>
    <row r="13" spans="1:33" ht="26.25" hidden="1" x14ac:dyDescent="0.4">
      <c r="A13" s="12" t="s">
        <v>161</v>
      </c>
      <c r="B13" s="51" t="s">
        <v>35</v>
      </c>
      <c r="C13" s="203"/>
      <c r="D13" s="199"/>
      <c r="E13" s="199"/>
      <c r="F13" s="226"/>
      <c r="G13" s="226"/>
      <c r="H13" s="226"/>
      <c r="I13" s="226"/>
      <c r="J13" s="204">
        <v>104.07</v>
      </c>
      <c r="K13" s="205">
        <f t="shared" si="2"/>
        <v>0</v>
      </c>
      <c r="L13" s="14"/>
      <c r="M13" s="205">
        <f t="shared" si="3"/>
        <v>0</v>
      </c>
      <c r="N13" s="205">
        <f t="shared" si="4"/>
        <v>0</v>
      </c>
      <c r="O13" s="205">
        <f t="shared" si="5"/>
        <v>0</v>
      </c>
      <c r="P13" s="14"/>
      <c r="Q13" s="207"/>
      <c r="R13" s="206" t="e">
        <f t="shared" si="6"/>
        <v>#DIV/0!</v>
      </c>
      <c r="S13" s="206" t="e">
        <f t="shared" si="6"/>
        <v>#DIV/0!</v>
      </c>
      <c r="T13" s="206" t="e">
        <f t="shared" si="1"/>
        <v>#DIV/0!</v>
      </c>
      <c r="U13" s="206" t="e">
        <f t="shared" si="1"/>
        <v>#DIV/0!</v>
      </c>
      <c r="V13" s="206" t="e">
        <f t="shared" si="1"/>
        <v>#DIV/0!</v>
      </c>
    </row>
    <row r="14" spans="1:33" ht="26.25" hidden="1" x14ac:dyDescent="0.4">
      <c r="A14" s="12" t="s">
        <v>162</v>
      </c>
      <c r="B14" s="51" t="s">
        <v>30</v>
      </c>
      <c r="C14" s="203"/>
      <c r="D14" s="199"/>
      <c r="E14" s="199"/>
      <c r="F14" s="226"/>
      <c r="G14" s="226"/>
      <c r="H14" s="226"/>
      <c r="I14" s="226"/>
      <c r="J14" s="204">
        <v>245.95</v>
      </c>
      <c r="K14" s="205">
        <f t="shared" si="2"/>
        <v>0</v>
      </c>
      <c r="L14" s="14"/>
      <c r="M14" s="205">
        <f t="shared" si="3"/>
        <v>0</v>
      </c>
      <c r="N14" s="205">
        <f t="shared" si="4"/>
        <v>0</v>
      </c>
      <c r="O14" s="205">
        <f t="shared" si="5"/>
        <v>0</v>
      </c>
      <c r="P14" s="14"/>
      <c r="Q14" s="207"/>
      <c r="R14" s="206" t="e">
        <f t="shared" si="6"/>
        <v>#DIV/0!</v>
      </c>
      <c r="S14" s="206" t="e">
        <f t="shared" si="6"/>
        <v>#DIV/0!</v>
      </c>
      <c r="T14" s="206" t="e">
        <f t="shared" si="1"/>
        <v>#DIV/0!</v>
      </c>
      <c r="U14" s="206" t="e">
        <f t="shared" si="1"/>
        <v>#DIV/0!</v>
      </c>
      <c r="V14" s="206" t="e">
        <f t="shared" si="1"/>
        <v>#DIV/0!</v>
      </c>
    </row>
    <row r="15" spans="1:33" ht="26.25" hidden="1" x14ac:dyDescent="0.4">
      <c r="A15" s="12" t="s">
        <v>163</v>
      </c>
      <c r="B15" s="51" t="s">
        <v>30</v>
      </c>
      <c r="C15" s="203"/>
      <c r="D15" s="199"/>
      <c r="E15" s="199"/>
      <c r="F15" s="226"/>
      <c r="G15" s="226"/>
      <c r="H15" s="226"/>
      <c r="I15" s="226"/>
      <c r="J15" s="204">
        <v>77.53</v>
      </c>
      <c r="K15" s="205">
        <f t="shared" si="2"/>
        <v>0</v>
      </c>
      <c r="L15" s="14"/>
      <c r="M15" s="205">
        <f t="shared" si="3"/>
        <v>0</v>
      </c>
      <c r="N15" s="205">
        <f t="shared" si="4"/>
        <v>0</v>
      </c>
      <c r="O15" s="205">
        <f t="shared" si="5"/>
        <v>0</v>
      </c>
      <c r="P15" s="14"/>
      <c r="Q15" s="207"/>
      <c r="R15" s="206" t="e">
        <f t="shared" si="6"/>
        <v>#DIV/0!</v>
      </c>
      <c r="S15" s="206" t="e">
        <f t="shared" si="6"/>
        <v>#DIV/0!</v>
      </c>
      <c r="T15" s="206" t="e">
        <f t="shared" si="1"/>
        <v>#DIV/0!</v>
      </c>
      <c r="U15" s="206" t="e">
        <f t="shared" si="1"/>
        <v>#DIV/0!</v>
      </c>
      <c r="V15" s="206" t="e">
        <f t="shared" si="1"/>
        <v>#DIV/0!</v>
      </c>
    </row>
    <row r="16" spans="1:33" ht="26.25" hidden="1" x14ac:dyDescent="0.4">
      <c r="A16" s="12" t="s">
        <v>164</v>
      </c>
      <c r="B16" s="51" t="s">
        <v>30</v>
      </c>
      <c r="C16" s="203"/>
      <c r="D16" s="199"/>
      <c r="E16" s="199"/>
      <c r="F16" s="226"/>
      <c r="G16" s="226"/>
      <c r="H16" s="226"/>
      <c r="I16" s="226"/>
      <c r="J16" s="204">
        <v>324.39999999999998</v>
      </c>
      <c r="K16" s="205">
        <f t="shared" si="2"/>
        <v>0</v>
      </c>
      <c r="L16" s="14"/>
      <c r="M16" s="205">
        <f t="shared" si="3"/>
        <v>0</v>
      </c>
      <c r="N16" s="205">
        <f t="shared" si="4"/>
        <v>0</v>
      </c>
      <c r="O16" s="205">
        <f t="shared" si="5"/>
        <v>0</v>
      </c>
      <c r="P16" s="14"/>
      <c r="Q16" s="207"/>
      <c r="R16" s="206" t="e">
        <f t="shared" si="6"/>
        <v>#DIV/0!</v>
      </c>
      <c r="S16" s="206" t="e">
        <f t="shared" si="6"/>
        <v>#DIV/0!</v>
      </c>
      <c r="T16" s="206" t="e">
        <f t="shared" si="1"/>
        <v>#DIV/0!</v>
      </c>
      <c r="U16" s="206" t="e">
        <f t="shared" si="1"/>
        <v>#DIV/0!</v>
      </c>
      <c r="V16" s="206" t="e">
        <f t="shared" si="1"/>
        <v>#DIV/0!</v>
      </c>
    </row>
    <row r="17" spans="1:22" ht="26.25" x14ac:dyDescent="0.4">
      <c r="A17" s="12" t="s">
        <v>165</v>
      </c>
      <c r="B17" s="51" t="s">
        <v>30</v>
      </c>
      <c r="C17" s="203">
        <f>40.54+790.8</f>
        <v>831.33999999999992</v>
      </c>
      <c r="D17" s="200">
        <v>829.3</v>
      </c>
      <c r="E17" s="288">
        <v>859.74</v>
      </c>
      <c r="F17" s="199">
        <v>883.81</v>
      </c>
      <c r="G17" s="199">
        <v>912.98</v>
      </c>
      <c r="H17" s="199">
        <v>948.59</v>
      </c>
      <c r="I17" s="199">
        <v>989.37</v>
      </c>
      <c r="J17" s="204">
        <v>301.42</v>
      </c>
      <c r="K17" s="205">
        <f t="shared" ref="K17:Q17" si="7">C17*$J$17</f>
        <v>250582.50279999999</v>
      </c>
      <c r="L17" s="205">
        <f t="shared" si="7"/>
        <v>249967.606</v>
      </c>
      <c r="M17" s="205">
        <f>E17*$J$17</f>
        <v>259142.83080000003</v>
      </c>
      <c r="N17" s="205">
        <f t="shared" si="7"/>
        <v>266398.01020000002</v>
      </c>
      <c r="O17" s="205">
        <f t="shared" si="7"/>
        <v>275190.43160000001</v>
      </c>
      <c r="P17" s="205">
        <f t="shared" si="7"/>
        <v>285923.99780000001</v>
      </c>
      <c r="Q17" s="205">
        <f t="shared" si="7"/>
        <v>298215.90539999999</v>
      </c>
      <c r="R17" s="206">
        <f>M17/L17*100</f>
        <v>103.67056553720006</v>
      </c>
      <c r="S17" s="206">
        <f t="shared" si="6"/>
        <v>102.79968362528207</v>
      </c>
      <c r="T17" s="206">
        <f t="shared" si="1"/>
        <v>103.30048313551555</v>
      </c>
      <c r="U17" s="206">
        <f t="shared" si="1"/>
        <v>103.90041402878485</v>
      </c>
      <c r="V17" s="206">
        <f t="shared" si="1"/>
        <v>104.29901221813427</v>
      </c>
    </row>
    <row r="18" spans="1:22" ht="26.25" hidden="1" x14ac:dyDescent="0.4">
      <c r="A18" s="12" t="s">
        <v>166</v>
      </c>
      <c r="B18" s="51" t="s">
        <v>30</v>
      </c>
      <c r="C18" s="13"/>
      <c r="D18" s="13"/>
      <c r="E18" s="110"/>
      <c r="F18" s="13"/>
      <c r="G18" s="13"/>
      <c r="H18" s="13"/>
      <c r="I18" s="13"/>
      <c r="J18" s="61">
        <v>222.7</v>
      </c>
      <c r="K18" s="14"/>
      <c r="L18" s="14"/>
      <c r="M18" s="14"/>
      <c r="N18" s="14"/>
      <c r="O18" s="14"/>
      <c r="P18" s="14"/>
      <c r="Q18" s="207"/>
      <c r="R18" s="206" t="e">
        <f t="shared" si="6"/>
        <v>#DIV/0!</v>
      </c>
      <c r="S18" s="206" t="e">
        <f t="shared" si="6"/>
        <v>#DIV/0!</v>
      </c>
      <c r="T18" s="206" t="e">
        <f t="shared" si="1"/>
        <v>#DIV/0!</v>
      </c>
      <c r="U18" s="206" t="e">
        <f t="shared" si="1"/>
        <v>#DIV/0!</v>
      </c>
      <c r="V18" s="206" t="e">
        <f t="shared" si="1"/>
        <v>#DIV/0!</v>
      </c>
    </row>
    <row r="19" spans="1:22" ht="26.25" hidden="1" x14ac:dyDescent="0.4">
      <c r="A19" s="12" t="s">
        <v>167</v>
      </c>
      <c r="B19" s="51" t="s">
        <v>30</v>
      </c>
      <c r="C19" s="13"/>
      <c r="D19" s="13"/>
      <c r="E19" s="13"/>
      <c r="F19" s="13"/>
      <c r="G19" s="13"/>
      <c r="H19" s="13"/>
      <c r="I19" s="13"/>
      <c r="J19" s="61">
        <v>168.3</v>
      </c>
      <c r="K19" s="14"/>
      <c r="L19" s="14"/>
      <c r="M19" s="14"/>
      <c r="N19" s="14"/>
      <c r="O19" s="14"/>
      <c r="P19" s="14"/>
      <c r="Q19" s="207"/>
      <c r="R19" s="206" t="e">
        <f t="shared" si="6"/>
        <v>#DIV/0!</v>
      </c>
      <c r="S19" s="206" t="e">
        <f t="shared" si="6"/>
        <v>#DIV/0!</v>
      </c>
      <c r="T19" s="206" t="e">
        <f t="shared" si="1"/>
        <v>#DIV/0!</v>
      </c>
      <c r="U19" s="206" t="e">
        <f t="shared" si="1"/>
        <v>#DIV/0!</v>
      </c>
      <c r="V19" s="206" t="e">
        <f t="shared" si="1"/>
        <v>#DIV/0!</v>
      </c>
    </row>
    <row r="20" spans="1:22" ht="26.25" x14ac:dyDescent="0.4">
      <c r="A20" s="33" t="s">
        <v>32</v>
      </c>
      <c r="B20" s="52" t="s">
        <v>57</v>
      </c>
      <c r="C20" s="16"/>
      <c r="D20" s="16"/>
      <c r="E20" s="227"/>
      <c r="F20" s="16"/>
      <c r="G20" s="16" t="s">
        <v>57</v>
      </c>
      <c r="H20" s="16"/>
      <c r="I20" s="16"/>
      <c r="J20" s="62" t="s">
        <v>57</v>
      </c>
      <c r="K20" s="17">
        <f>K11+K17</f>
        <v>1748040.9027999998</v>
      </c>
      <c r="L20" s="17">
        <f>L11+L17</f>
        <v>1891795.6059999999</v>
      </c>
      <c r="M20" s="17">
        <f t="shared" ref="M20:Q20" si="8">M11+M17</f>
        <v>1776026.8308000001</v>
      </c>
      <c r="N20" s="17">
        <f t="shared" si="8"/>
        <v>1825758.4101999998</v>
      </c>
      <c r="O20" s="17">
        <f t="shared" si="8"/>
        <v>1886010.4316</v>
      </c>
      <c r="P20" s="17">
        <f t="shared" si="8"/>
        <v>1959557.9978</v>
      </c>
      <c r="Q20" s="17">
        <f t="shared" si="8"/>
        <v>2043829.5054000001</v>
      </c>
      <c r="R20" s="208">
        <f>M20/L20*100</f>
        <v>93.880481864275993</v>
      </c>
      <c r="S20" s="208">
        <f>N20/M20*100</f>
        <v>102.80015923957626</v>
      </c>
      <c r="T20" s="208">
        <f t="shared" si="1"/>
        <v>103.30010920740604</v>
      </c>
      <c r="U20" s="208">
        <f t="shared" si="1"/>
        <v>103.89963729615248</v>
      </c>
      <c r="V20" s="208">
        <f t="shared" si="1"/>
        <v>104.3005365339843</v>
      </c>
    </row>
    <row r="21" spans="1:22" ht="27" x14ac:dyDescent="0.2">
      <c r="A21" s="333" t="s">
        <v>256</v>
      </c>
      <c r="B21" s="334"/>
      <c r="C21" s="334"/>
      <c r="D21" s="334"/>
      <c r="E21" s="334"/>
      <c r="F21" s="334"/>
      <c r="G21" s="334"/>
      <c r="H21" s="334"/>
      <c r="I21" s="334"/>
      <c r="J21" s="334"/>
      <c r="K21" s="334"/>
      <c r="L21" s="334"/>
      <c r="M21" s="334"/>
      <c r="N21" s="334"/>
      <c r="O21" s="334"/>
      <c r="P21" s="334"/>
      <c r="Q21" s="334"/>
      <c r="R21" s="334"/>
      <c r="S21" s="334"/>
      <c r="T21" s="334"/>
      <c r="U21" s="334"/>
      <c r="V21" s="334"/>
    </row>
    <row r="22" spans="1:22" ht="78.75" hidden="1" x14ac:dyDescent="0.4">
      <c r="A22" s="130" t="s">
        <v>171</v>
      </c>
      <c r="B22" s="49" t="s">
        <v>31</v>
      </c>
      <c r="C22" s="209"/>
      <c r="D22" s="209"/>
      <c r="E22" s="209"/>
      <c r="F22" s="209"/>
      <c r="G22" s="209"/>
      <c r="H22" s="209"/>
      <c r="I22" s="209"/>
      <c r="J22" s="59">
        <v>127.61</v>
      </c>
      <c r="K22" s="5"/>
      <c r="L22" s="5"/>
      <c r="M22" s="5"/>
      <c r="N22" s="5"/>
      <c r="O22" s="5"/>
      <c r="P22" s="5"/>
      <c r="Q22" s="5"/>
      <c r="R22" s="28"/>
      <c r="S22" s="28"/>
      <c r="T22" s="28"/>
      <c r="U22" s="28"/>
      <c r="V22" s="28"/>
    </row>
    <row r="23" spans="1:22" ht="52.5" hidden="1" x14ac:dyDescent="0.4">
      <c r="A23" s="10" t="s">
        <v>172</v>
      </c>
      <c r="B23" s="50" t="s">
        <v>31</v>
      </c>
      <c r="C23" s="210"/>
      <c r="D23" s="210"/>
      <c r="E23" s="210"/>
      <c r="F23" s="210"/>
      <c r="G23" s="210"/>
      <c r="H23" s="210"/>
      <c r="I23" s="210"/>
      <c r="J23" s="60">
        <v>156.41</v>
      </c>
      <c r="K23" s="9"/>
      <c r="L23" s="9"/>
      <c r="M23" s="9"/>
      <c r="N23" s="9"/>
      <c r="O23" s="9"/>
      <c r="P23" s="9"/>
      <c r="Q23" s="9"/>
      <c r="R23" s="29"/>
      <c r="S23" s="29"/>
      <c r="T23" s="29"/>
      <c r="U23" s="29"/>
      <c r="V23" s="29"/>
    </row>
    <row r="24" spans="1:22" ht="78.75" hidden="1" x14ac:dyDescent="0.4">
      <c r="A24" s="10" t="s">
        <v>173</v>
      </c>
      <c r="B24" s="50" t="s">
        <v>31</v>
      </c>
      <c r="C24" s="210"/>
      <c r="D24" s="210"/>
      <c r="E24" s="210"/>
      <c r="F24" s="210"/>
      <c r="G24" s="210"/>
      <c r="H24" s="210"/>
      <c r="I24" s="210"/>
      <c r="J24" s="60">
        <v>91.18</v>
      </c>
      <c r="K24" s="9"/>
      <c r="L24" s="9"/>
      <c r="M24" s="9"/>
      <c r="N24" s="9"/>
      <c r="O24" s="9"/>
      <c r="P24" s="9"/>
      <c r="Q24" s="9"/>
      <c r="R24" s="29"/>
      <c r="S24" s="29"/>
      <c r="T24" s="29"/>
      <c r="U24" s="29"/>
      <c r="V24" s="29"/>
    </row>
    <row r="25" spans="1:22" ht="157.5" hidden="1" x14ac:dyDescent="0.4">
      <c r="A25" s="10" t="s">
        <v>174</v>
      </c>
      <c r="B25" s="50" t="s">
        <v>31</v>
      </c>
      <c r="C25" s="210"/>
      <c r="D25" s="210"/>
      <c r="E25" s="210"/>
      <c r="F25" s="210"/>
      <c r="G25" s="210"/>
      <c r="H25" s="210"/>
      <c r="I25" s="210"/>
      <c r="J25" s="60">
        <v>85.36</v>
      </c>
      <c r="K25" s="9"/>
      <c r="L25" s="9"/>
      <c r="M25" s="9"/>
      <c r="N25" s="9"/>
      <c r="O25" s="9"/>
      <c r="P25" s="9"/>
      <c r="Q25" s="9"/>
      <c r="R25" s="29"/>
      <c r="S25" s="29"/>
      <c r="T25" s="29"/>
      <c r="U25" s="29"/>
      <c r="V25" s="29"/>
    </row>
    <row r="26" spans="1:22" ht="52.5" hidden="1" x14ac:dyDescent="0.4">
      <c r="A26" s="10" t="s">
        <v>175</v>
      </c>
      <c r="B26" s="50" t="s">
        <v>31</v>
      </c>
      <c r="C26" s="210"/>
      <c r="D26" s="210"/>
      <c r="E26" s="210"/>
      <c r="F26" s="210"/>
      <c r="G26" s="210"/>
      <c r="H26" s="210"/>
      <c r="I26" s="210"/>
      <c r="J26" s="60">
        <v>114.67</v>
      </c>
      <c r="K26" s="9"/>
      <c r="L26" s="9"/>
      <c r="M26" s="9"/>
      <c r="N26" s="9"/>
      <c r="O26" s="9"/>
      <c r="P26" s="9"/>
      <c r="Q26" s="9"/>
      <c r="R26" s="29"/>
      <c r="S26" s="29"/>
      <c r="T26" s="29"/>
      <c r="U26" s="29"/>
      <c r="V26" s="29"/>
    </row>
    <row r="27" spans="1:22" ht="78.75" hidden="1" x14ac:dyDescent="0.4">
      <c r="A27" s="10" t="s">
        <v>176</v>
      </c>
      <c r="B27" s="50" t="s">
        <v>31</v>
      </c>
      <c r="C27" s="210"/>
      <c r="D27" s="210"/>
      <c r="E27" s="210"/>
      <c r="F27" s="210"/>
      <c r="G27" s="210"/>
      <c r="H27" s="210"/>
      <c r="I27" s="210"/>
      <c r="J27" s="60">
        <v>91.18</v>
      </c>
      <c r="K27" s="9"/>
      <c r="L27" s="9"/>
      <c r="M27" s="9"/>
      <c r="N27" s="9"/>
      <c r="O27" s="9"/>
      <c r="P27" s="9"/>
      <c r="Q27" s="9"/>
      <c r="R27" s="29"/>
      <c r="S27" s="29"/>
      <c r="T27" s="29"/>
      <c r="U27" s="29"/>
      <c r="V27" s="29"/>
    </row>
    <row r="28" spans="1:22" ht="52.5" hidden="1" x14ac:dyDescent="0.4">
      <c r="A28" s="10" t="s">
        <v>177</v>
      </c>
      <c r="B28" s="50" t="s">
        <v>31</v>
      </c>
      <c r="C28" s="210"/>
      <c r="D28" s="210"/>
      <c r="E28" s="210"/>
      <c r="F28" s="210"/>
      <c r="G28" s="210"/>
      <c r="H28" s="210"/>
      <c r="I28" s="210"/>
      <c r="J28" s="60">
        <v>126.54</v>
      </c>
      <c r="K28" s="9"/>
      <c r="L28" s="9"/>
      <c r="M28" s="9"/>
      <c r="N28" s="9"/>
      <c r="O28" s="9"/>
      <c r="P28" s="9"/>
      <c r="Q28" s="9"/>
      <c r="R28" s="29"/>
      <c r="S28" s="29"/>
      <c r="T28" s="29"/>
      <c r="U28" s="29"/>
      <c r="V28" s="29"/>
    </row>
    <row r="29" spans="1:22" ht="26.25" hidden="1" x14ac:dyDescent="0.4">
      <c r="A29" s="10" t="s">
        <v>178</v>
      </c>
      <c r="B29" s="50" t="s">
        <v>31</v>
      </c>
      <c r="C29" s="210"/>
      <c r="D29" s="210"/>
      <c r="E29" s="210"/>
      <c r="F29" s="210"/>
      <c r="G29" s="210"/>
      <c r="H29" s="210"/>
      <c r="I29" s="210"/>
      <c r="J29" s="60">
        <v>23.56</v>
      </c>
      <c r="K29" s="9"/>
      <c r="L29" s="9"/>
      <c r="M29" s="9"/>
      <c r="N29" s="9"/>
      <c r="O29" s="9"/>
      <c r="P29" s="9"/>
      <c r="Q29" s="9"/>
      <c r="R29" s="29"/>
      <c r="S29" s="29"/>
      <c r="T29" s="29"/>
      <c r="U29" s="29"/>
      <c r="V29" s="29"/>
    </row>
    <row r="30" spans="1:22" ht="52.5" hidden="1" x14ac:dyDescent="0.4">
      <c r="A30" s="10" t="s">
        <v>179</v>
      </c>
      <c r="B30" s="50" t="s">
        <v>31</v>
      </c>
      <c r="C30" s="210"/>
      <c r="D30" s="210"/>
      <c r="E30" s="210"/>
      <c r="F30" s="210"/>
      <c r="G30" s="210"/>
      <c r="H30" s="210"/>
      <c r="I30" s="210"/>
      <c r="J30" s="60">
        <v>75.790000000000006</v>
      </c>
      <c r="K30" s="9"/>
      <c r="L30" s="9"/>
      <c r="M30" s="9"/>
      <c r="N30" s="9"/>
      <c r="O30" s="9"/>
      <c r="P30" s="9"/>
      <c r="Q30" s="9"/>
      <c r="R30" s="29"/>
      <c r="S30" s="29"/>
      <c r="T30" s="29"/>
      <c r="U30" s="29"/>
      <c r="V30" s="29"/>
    </row>
    <row r="31" spans="1:22" ht="52.5" hidden="1" x14ac:dyDescent="0.4">
      <c r="A31" s="10" t="s">
        <v>180</v>
      </c>
      <c r="B31" s="50" t="s">
        <v>31</v>
      </c>
      <c r="C31" s="210"/>
      <c r="D31" s="210"/>
      <c r="E31" s="210"/>
      <c r="F31" s="210"/>
      <c r="G31" s="210"/>
      <c r="H31" s="210"/>
      <c r="I31" s="210"/>
      <c r="J31" s="60">
        <v>74.56</v>
      </c>
      <c r="K31" s="9"/>
      <c r="L31" s="9"/>
      <c r="M31" s="9"/>
      <c r="N31" s="9"/>
      <c r="O31" s="9"/>
      <c r="P31" s="9"/>
      <c r="Q31" s="9"/>
      <c r="R31" s="29"/>
      <c r="S31" s="29"/>
      <c r="T31" s="29"/>
      <c r="U31" s="29"/>
      <c r="V31" s="29"/>
    </row>
    <row r="32" spans="1:22" ht="22.5" hidden="1" customHeight="1" x14ac:dyDescent="0.4">
      <c r="A32" s="10" t="s">
        <v>181</v>
      </c>
      <c r="B32" s="8" t="s">
        <v>31</v>
      </c>
      <c r="C32" s="210"/>
      <c r="D32" s="210"/>
      <c r="E32" s="210"/>
      <c r="F32" s="210"/>
      <c r="G32" s="210"/>
      <c r="H32" s="210"/>
      <c r="I32" s="210"/>
      <c r="J32" s="60">
        <v>46.58</v>
      </c>
      <c r="K32" s="9"/>
      <c r="L32" s="9"/>
      <c r="M32" s="9"/>
      <c r="N32" s="9"/>
      <c r="O32" s="9"/>
      <c r="P32" s="9"/>
      <c r="Q32" s="9"/>
      <c r="R32" s="29"/>
      <c r="S32" s="29"/>
      <c r="T32" s="29"/>
      <c r="U32" s="29"/>
      <c r="V32" s="29"/>
    </row>
    <row r="33" spans="1:22" ht="52.5" hidden="1" x14ac:dyDescent="0.4">
      <c r="A33" s="10" t="s">
        <v>182</v>
      </c>
      <c r="B33" s="11" t="s">
        <v>31</v>
      </c>
      <c r="C33" s="210"/>
      <c r="D33" s="210"/>
      <c r="E33" s="210"/>
      <c r="F33" s="210"/>
      <c r="G33" s="210"/>
      <c r="H33" s="210"/>
      <c r="I33" s="210"/>
      <c r="J33" s="60">
        <v>196.3</v>
      </c>
      <c r="K33" s="9"/>
      <c r="L33" s="9"/>
      <c r="M33" s="9"/>
      <c r="N33" s="9"/>
      <c r="O33" s="9"/>
      <c r="P33" s="9"/>
      <c r="Q33" s="9"/>
      <c r="R33" s="29"/>
      <c r="S33" s="29"/>
      <c r="T33" s="29"/>
      <c r="U33" s="29"/>
      <c r="V33" s="29"/>
    </row>
    <row r="34" spans="1:22" ht="25.5" hidden="1" customHeight="1" x14ac:dyDescent="0.4">
      <c r="A34" s="10" t="s">
        <v>183</v>
      </c>
      <c r="B34" s="11" t="s">
        <v>31</v>
      </c>
      <c r="C34" s="210"/>
      <c r="D34" s="210"/>
      <c r="E34" s="210"/>
      <c r="F34" s="210"/>
      <c r="G34" s="210"/>
      <c r="H34" s="210"/>
      <c r="I34" s="210"/>
      <c r="J34" s="60">
        <v>268</v>
      </c>
      <c r="K34" s="9"/>
      <c r="L34" s="9"/>
      <c r="M34" s="9"/>
      <c r="N34" s="9"/>
      <c r="O34" s="9"/>
      <c r="P34" s="9"/>
      <c r="Q34" s="9"/>
      <c r="R34" s="29"/>
      <c r="S34" s="29"/>
      <c r="T34" s="29"/>
      <c r="U34" s="29"/>
      <c r="V34" s="29"/>
    </row>
    <row r="35" spans="1:22" ht="28.5" hidden="1" customHeight="1" x14ac:dyDescent="0.4">
      <c r="A35" s="10" t="s">
        <v>184</v>
      </c>
      <c r="B35" s="11" t="s">
        <v>31</v>
      </c>
      <c r="C35" s="210"/>
      <c r="D35" s="210"/>
      <c r="E35" s="210"/>
      <c r="F35" s="210"/>
      <c r="G35" s="210"/>
      <c r="H35" s="210"/>
      <c r="I35" s="210"/>
      <c r="J35" s="60">
        <v>220.7</v>
      </c>
      <c r="K35" s="9"/>
      <c r="L35" s="9"/>
      <c r="M35" s="9"/>
      <c r="N35" s="9"/>
      <c r="O35" s="9"/>
      <c r="P35" s="9"/>
      <c r="Q35" s="9"/>
      <c r="R35" s="29"/>
      <c r="S35" s="29"/>
      <c r="T35" s="29"/>
      <c r="U35" s="29"/>
      <c r="V35" s="29"/>
    </row>
    <row r="36" spans="1:22" ht="52.5" hidden="1" x14ac:dyDescent="0.4">
      <c r="A36" s="10" t="s">
        <v>185</v>
      </c>
      <c r="B36" s="50" t="s">
        <v>31</v>
      </c>
      <c r="C36" s="210"/>
      <c r="D36" s="210"/>
      <c r="E36" s="210"/>
      <c r="F36" s="210"/>
      <c r="G36" s="210"/>
      <c r="H36" s="210"/>
      <c r="I36" s="210"/>
      <c r="J36" s="60">
        <v>155.75</v>
      </c>
      <c r="K36" s="9"/>
      <c r="L36" s="9"/>
      <c r="M36" s="9"/>
      <c r="N36" s="9"/>
      <c r="O36" s="9"/>
      <c r="P36" s="9"/>
      <c r="Q36" s="9"/>
      <c r="R36" s="29"/>
      <c r="S36" s="29"/>
      <c r="T36" s="29"/>
      <c r="U36" s="29"/>
      <c r="V36" s="29"/>
    </row>
    <row r="37" spans="1:22" ht="26.25" hidden="1" x14ac:dyDescent="0.4">
      <c r="A37" s="10" t="s">
        <v>186</v>
      </c>
      <c r="B37" s="50" t="s">
        <v>31</v>
      </c>
      <c r="C37" s="210"/>
      <c r="D37" s="210"/>
      <c r="E37" s="210"/>
      <c r="F37" s="210"/>
      <c r="G37" s="210"/>
      <c r="H37" s="210"/>
      <c r="I37" s="210"/>
      <c r="J37" s="60">
        <v>53.63</v>
      </c>
      <c r="K37" s="9"/>
      <c r="L37" s="9"/>
      <c r="M37" s="9"/>
      <c r="N37" s="9"/>
      <c r="O37" s="9"/>
      <c r="P37" s="9"/>
      <c r="Q37" s="9"/>
      <c r="R37" s="29"/>
      <c r="S37" s="29"/>
      <c r="T37" s="29"/>
      <c r="U37" s="29"/>
      <c r="V37" s="29"/>
    </row>
    <row r="38" spans="1:22" ht="26.25" hidden="1" x14ac:dyDescent="0.4">
      <c r="A38" s="10" t="s">
        <v>187</v>
      </c>
      <c r="B38" s="50" t="s">
        <v>31</v>
      </c>
      <c r="C38" s="210"/>
      <c r="D38" s="210"/>
      <c r="E38" s="210"/>
      <c r="F38" s="210"/>
      <c r="G38" s="210"/>
      <c r="H38" s="210"/>
      <c r="I38" s="210"/>
      <c r="J38" s="60">
        <v>180.15</v>
      </c>
      <c r="K38" s="9"/>
      <c r="L38" s="9"/>
      <c r="M38" s="9"/>
      <c r="N38" s="9"/>
      <c r="O38" s="9"/>
      <c r="P38" s="9"/>
      <c r="Q38" s="9"/>
      <c r="R38" s="29"/>
      <c r="S38" s="29"/>
      <c r="T38" s="29"/>
      <c r="U38" s="29"/>
      <c r="V38" s="29"/>
    </row>
    <row r="39" spans="1:22" ht="52.5" hidden="1" x14ac:dyDescent="0.4">
      <c r="A39" s="10" t="s">
        <v>188</v>
      </c>
      <c r="B39" s="50" t="s">
        <v>31</v>
      </c>
      <c r="C39" s="210"/>
      <c r="D39" s="210"/>
      <c r="E39" s="210"/>
      <c r="F39" s="210"/>
      <c r="G39" s="210"/>
      <c r="H39" s="210"/>
      <c r="I39" s="210"/>
      <c r="J39" s="60">
        <v>164.23</v>
      </c>
      <c r="K39" s="9"/>
      <c r="L39" s="9"/>
      <c r="M39" s="9"/>
      <c r="N39" s="9"/>
      <c r="O39" s="9"/>
      <c r="P39" s="9"/>
      <c r="Q39" s="9"/>
      <c r="R39" s="29"/>
      <c r="S39" s="29"/>
      <c r="T39" s="29"/>
      <c r="U39" s="29"/>
      <c r="V39" s="29"/>
    </row>
    <row r="40" spans="1:22" ht="52.5" hidden="1" x14ac:dyDescent="0.4">
      <c r="A40" s="10" t="s">
        <v>189</v>
      </c>
      <c r="B40" s="50" t="s">
        <v>31</v>
      </c>
      <c r="C40" s="210"/>
      <c r="D40" s="210"/>
      <c r="E40" s="210"/>
      <c r="F40" s="210"/>
      <c r="G40" s="210"/>
      <c r="H40" s="210"/>
      <c r="I40" s="210"/>
      <c r="J40" s="60">
        <v>104.62</v>
      </c>
      <c r="K40" s="9"/>
      <c r="L40" s="9"/>
      <c r="M40" s="9"/>
      <c r="N40" s="9"/>
      <c r="O40" s="9"/>
      <c r="P40" s="9"/>
      <c r="Q40" s="9"/>
      <c r="R40" s="29"/>
      <c r="S40" s="29"/>
      <c r="T40" s="29"/>
      <c r="U40" s="29"/>
      <c r="V40" s="29"/>
    </row>
    <row r="41" spans="1:22" ht="78.75" hidden="1" x14ac:dyDescent="0.4">
      <c r="A41" s="10" t="s">
        <v>190</v>
      </c>
      <c r="B41" s="50" t="s">
        <v>31</v>
      </c>
      <c r="C41" s="210"/>
      <c r="D41" s="210"/>
      <c r="E41" s="210"/>
      <c r="F41" s="210"/>
      <c r="G41" s="210"/>
      <c r="H41" s="210"/>
      <c r="I41" s="210"/>
      <c r="J41" s="60">
        <v>106.36</v>
      </c>
      <c r="K41" s="9"/>
      <c r="L41" s="9"/>
      <c r="M41" s="9"/>
      <c r="N41" s="9"/>
      <c r="O41" s="9"/>
      <c r="P41" s="9"/>
      <c r="Q41" s="9"/>
      <c r="R41" s="29"/>
      <c r="S41" s="29"/>
      <c r="T41" s="29"/>
      <c r="U41" s="29"/>
      <c r="V41" s="29"/>
    </row>
    <row r="42" spans="1:22" ht="78.75" hidden="1" x14ac:dyDescent="0.4">
      <c r="A42" s="10" t="s">
        <v>191</v>
      </c>
      <c r="B42" s="50" t="s">
        <v>31</v>
      </c>
      <c r="C42" s="210"/>
      <c r="D42" s="210"/>
      <c r="E42" s="210"/>
      <c r="F42" s="210"/>
      <c r="G42" s="210"/>
      <c r="H42" s="210"/>
      <c r="I42" s="210"/>
      <c r="J42" s="60">
        <v>2.67</v>
      </c>
      <c r="K42" s="9"/>
      <c r="L42" s="9"/>
      <c r="M42" s="9"/>
      <c r="N42" s="9"/>
      <c r="O42" s="9"/>
      <c r="P42" s="9"/>
      <c r="Q42" s="9"/>
      <c r="R42" s="29"/>
      <c r="S42" s="29"/>
      <c r="T42" s="29"/>
      <c r="U42" s="29"/>
      <c r="V42" s="29"/>
    </row>
    <row r="43" spans="1:22" ht="26.25" hidden="1" x14ac:dyDescent="0.4">
      <c r="A43" s="10" t="s">
        <v>192</v>
      </c>
      <c r="B43" s="50" t="s">
        <v>31</v>
      </c>
      <c r="C43" s="210"/>
      <c r="D43" s="210"/>
      <c r="E43" s="210"/>
      <c r="F43" s="210"/>
      <c r="G43" s="210"/>
      <c r="H43" s="210"/>
      <c r="I43" s="210"/>
      <c r="J43" s="60">
        <v>148.66999999999999</v>
      </c>
      <c r="K43" s="9"/>
      <c r="L43" s="9"/>
      <c r="M43" s="9"/>
      <c r="N43" s="9"/>
      <c r="O43" s="9"/>
      <c r="P43" s="9"/>
      <c r="Q43" s="9"/>
      <c r="R43" s="29"/>
      <c r="S43" s="29"/>
      <c r="T43" s="29"/>
      <c r="U43" s="29"/>
      <c r="V43" s="29"/>
    </row>
    <row r="44" spans="1:22" ht="26.25" hidden="1" x14ac:dyDescent="0.4">
      <c r="A44" s="10" t="s">
        <v>193</v>
      </c>
      <c r="B44" s="50" t="s">
        <v>31</v>
      </c>
      <c r="C44" s="210"/>
      <c r="D44" s="210"/>
      <c r="E44" s="210"/>
      <c r="F44" s="210"/>
      <c r="G44" s="210"/>
      <c r="H44" s="210"/>
      <c r="I44" s="210"/>
      <c r="J44" s="60">
        <v>155.18</v>
      </c>
      <c r="K44" s="9"/>
      <c r="L44" s="9"/>
      <c r="M44" s="9"/>
      <c r="N44" s="9"/>
      <c r="O44" s="9"/>
      <c r="P44" s="9"/>
      <c r="Q44" s="9"/>
      <c r="R44" s="29"/>
      <c r="S44" s="29"/>
      <c r="T44" s="29"/>
      <c r="U44" s="29"/>
      <c r="V44" s="29"/>
    </row>
    <row r="45" spans="1:22" ht="52.5" hidden="1" x14ac:dyDescent="0.4">
      <c r="A45" s="10" t="s">
        <v>194</v>
      </c>
      <c r="B45" s="50" t="s">
        <v>31</v>
      </c>
      <c r="C45" s="210"/>
      <c r="D45" s="210"/>
      <c r="E45" s="210"/>
      <c r="F45" s="210"/>
      <c r="G45" s="210"/>
      <c r="H45" s="210"/>
      <c r="I45" s="210"/>
      <c r="J45" s="60">
        <v>187.9</v>
      </c>
      <c r="K45" s="9"/>
      <c r="L45" s="9"/>
      <c r="M45" s="9"/>
      <c r="N45" s="9"/>
      <c r="O45" s="9"/>
      <c r="P45" s="9"/>
      <c r="Q45" s="9"/>
      <c r="R45" s="29"/>
      <c r="S45" s="29"/>
      <c r="T45" s="29"/>
      <c r="U45" s="29"/>
      <c r="V45" s="29"/>
    </row>
    <row r="46" spans="1:22" ht="26.25" hidden="1" x14ac:dyDescent="0.4">
      <c r="A46" s="10" t="s">
        <v>195</v>
      </c>
      <c r="B46" s="50" t="s">
        <v>31</v>
      </c>
      <c r="C46" s="210"/>
      <c r="D46" s="210"/>
      <c r="E46" s="210"/>
      <c r="F46" s="210"/>
      <c r="G46" s="210"/>
      <c r="H46" s="210"/>
      <c r="I46" s="210"/>
      <c r="J46" s="60">
        <v>64.45</v>
      </c>
      <c r="K46" s="9"/>
      <c r="L46" s="9"/>
      <c r="M46" s="9"/>
      <c r="N46" s="9"/>
      <c r="O46" s="9"/>
      <c r="P46" s="9"/>
      <c r="Q46" s="9"/>
      <c r="R46" s="29"/>
      <c r="S46" s="29"/>
      <c r="T46" s="29"/>
      <c r="U46" s="29"/>
      <c r="V46" s="29"/>
    </row>
    <row r="47" spans="1:22" ht="105" hidden="1" x14ac:dyDescent="0.4">
      <c r="A47" s="10" t="s">
        <v>196</v>
      </c>
      <c r="B47" s="50" t="s">
        <v>251</v>
      </c>
      <c r="C47" s="210"/>
      <c r="D47" s="210"/>
      <c r="E47" s="210"/>
      <c r="F47" s="210"/>
      <c r="G47" s="210"/>
      <c r="H47" s="210"/>
      <c r="I47" s="210"/>
      <c r="J47" s="60">
        <v>15.85</v>
      </c>
      <c r="K47" s="9"/>
      <c r="L47" s="9"/>
      <c r="M47" s="9"/>
      <c r="N47" s="9"/>
      <c r="O47" s="9"/>
      <c r="P47" s="9"/>
      <c r="Q47" s="9"/>
      <c r="R47" s="29"/>
      <c r="S47" s="29"/>
      <c r="T47" s="29"/>
      <c r="U47" s="29"/>
      <c r="V47" s="29"/>
    </row>
    <row r="48" spans="1:22" ht="105" hidden="1" x14ac:dyDescent="0.4">
      <c r="A48" s="10" t="s">
        <v>197</v>
      </c>
      <c r="B48" s="50" t="s">
        <v>251</v>
      </c>
      <c r="C48" s="210"/>
      <c r="D48" s="210"/>
      <c r="E48" s="210"/>
      <c r="F48" s="210"/>
      <c r="G48" s="210"/>
      <c r="H48" s="210"/>
      <c r="I48" s="210"/>
      <c r="J48" s="60">
        <v>12.45</v>
      </c>
      <c r="K48" s="9"/>
      <c r="L48" s="9"/>
      <c r="M48" s="9"/>
      <c r="N48" s="9"/>
      <c r="O48" s="9"/>
      <c r="P48" s="9"/>
      <c r="Q48" s="9"/>
      <c r="R48" s="29"/>
      <c r="S48" s="29"/>
      <c r="T48" s="29"/>
      <c r="U48" s="29"/>
      <c r="V48" s="29"/>
    </row>
    <row r="49" spans="1:22" ht="26.25" hidden="1" x14ac:dyDescent="0.4">
      <c r="A49" s="10" t="s">
        <v>198</v>
      </c>
      <c r="B49" s="50" t="s">
        <v>31</v>
      </c>
      <c r="C49" s="210"/>
      <c r="D49" s="210"/>
      <c r="E49" s="210"/>
      <c r="F49" s="210"/>
      <c r="G49" s="210"/>
      <c r="H49" s="210"/>
      <c r="I49" s="210"/>
      <c r="J49" s="60">
        <v>42.7</v>
      </c>
      <c r="K49" s="9"/>
      <c r="L49" s="9"/>
      <c r="M49" s="9"/>
      <c r="N49" s="9"/>
      <c r="O49" s="9"/>
      <c r="P49" s="9"/>
      <c r="Q49" s="9"/>
      <c r="R49" s="29"/>
      <c r="S49" s="29"/>
      <c r="T49" s="29"/>
      <c r="U49" s="29"/>
      <c r="V49" s="29"/>
    </row>
    <row r="50" spans="1:22" ht="52.5" hidden="1" x14ac:dyDescent="0.4">
      <c r="A50" s="10" t="s">
        <v>199</v>
      </c>
      <c r="B50" s="50" t="s">
        <v>31</v>
      </c>
      <c r="C50" s="210"/>
      <c r="D50" s="210"/>
      <c r="E50" s="210"/>
      <c r="F50" s="210"/>
      <c r="G50" s="210"/>
      <c r="H50" s="210"/>
      <c r="I50" s="210"/>
      <c r="J50" s="60">
        <v>42.7</v>
      </c>
      <c r="K50" s="9"/>
      <c r="L50" s="9"/>
      <c r="M50" s="9"/>
      <c r="N50" s="9"/>
      <c r="O50" s="9"/>
      <c r="P50" s="9"/>
      <c r="Q50" s="9"/>
      <c r="R50" s="29"/>
      <c r="S50" s="29"/>
      <c r="T50" s="29"/>
      <c r="U50" s="29"/>
      <c r="V50" s="29"/>
    </row>
    <row r="51" spans="1:22" ht="26.25" hidden="1" x14ac:dyDescent="0.4">
      <c r="A51" s="10" t="s">
        <v>200</v>
      </c>
      <c r="B51" s="50" t="s">
        <v>31</v>
      </c>
      <c r="C51" s="210"/>
      <c r="D51" s="210"/>
      <c r="E51" s="210"/>
      <c r="F51" s="210"/>
      <c r="G51" s="210"/>
      <c r="H51" s="210"/>
      <c r="I51" s="210"/>
      <c r="J51" s="60">
        <v>42.7</v>
      </c>
      <c r="K51" s="9"/>
      <c r="L51" s="9"/>
      <c r="M51" s="9"/>
      <c r="N51" s="9"/>
      <c r="O51" s="9"/>
      <c r="P51" s="9"/>
      <c r="Q51" s="9"/>
      <c r="R51" s="29"/>
      <c r="S51" s="29"/>
      <c r="T51" s="29"/>
      <c r="U51" s="29"/>
      <c r="V51" s="29"/>
    </row>
    <row r="52" spans="1:22" ht="52.5" hidden="1" x14ac:dyDescent="0.4">
      <c r="A52" s="10" t="s">
        <v>201</v>
      </c>
      <c r="B52" s="50" t="s">
        <v>31</v>
      </c>
      <c r="C52" s="210"/>
      <c r="D52" s="210"/>
      <c r="E52" s="210"/>
      <c r="F52" s="210"/>
      <c r="G52" s="210"/>
      <c r="H52" s="210"/>
      <c r="I52" s="210"/>
      <c r="J52" s="60">
        <v>14.39</v>
      </c>
      <c r="K52" s="9"/>
      <c r="L52" s="9"/>
      <c r="M52" s="9"/>
      <c r="N52" s="9"/>
      <c r="O52" s="9"/>
      <c r="P52" s="9"/>
      <c r="Q52" s="9"/>
      <c r="R52" s="29"/>
      <c r="S52" s="29"/>
      <c r="T52" s="29"/>
      <c r="U52" s="29"/>
      <c r="V52" s="29"/>
    </row>
    <row r="53" spans="1:22" ht="52.5" hidden="1" x14ac:dyDescent="0.4">
      <c r="A53" s="10" t="s">
        <v>202</v>
      </c>
      <c r="B53" s="50" t="s">
        <v>31</v>
      </c>
      <c r="C53" s="210"/>
      <c r="D53" s="210"/>
      <c r="E53" s="210"/>
      <c r="F53" s="210"/>
      <c r="G53" s="210"/>
      <c r="H53" s="210"/>
      <c r="I53" s="210"/>
      <c r="J53" s="60">
        <v>44.2</v>
      </c>
      <c r="K53" s="9"/>
      <c r="L53" s="9"/>
      <c r="M53" s="9"/>
      <c r="N53" s="9"/>
      <c r="O53" s="9"/>
      <c r="P53" s="9"/>
      <c r="Q53" s="9"/>
      <c r="R53" s="29"/>
      <c r="S53" s="29"/>
      <c r="T53" s="29"/>
      <c r="U53" s="29"/>
      <c r="V53" s="29"/>
    </row>
    <row r="54" spans="1:22" ht="54" hidden="1" customHeight="1" x14ac:dyDescent="0.4">
      <c r="A54" s="10" t="s">
        <v>203</v>
      </c>
      <c r="B54" s="50" t="s">
        <v>31</v>
      </c>
      <c r="C54" s="210"/>
      <c r="D54" s="210"/>
      <c r="E54" s="210"/>
      <c r="F54" s="210"/>
      <c r="G54" s="210"/>
      <c r="H54" s="210"/>
      <c r="I54" s="210"/>
      <c r="J54" s="60">
        <v>43.3</v>
      </c>
      <c r="K54" s="9"/>
      <c r="L54" s="9"/>
      <c r="M54" s="9"/>
      <c r="N54" s="9"/>
      <c r="O54" s="9"/>
      <c r="P54" s="9"/>
      <c r="Q54" s="9"/>
      <c r="R54" s="29"/>
      <c r="S54" s="29"/>
      <c r="T54" s="29"/>
      <c r="U54" s="29"/>
      <c r="V54" s="29"/>
    </row>
    <row r="55" spans="1:22" ht="81" hidden="1" customHeight="1" x14ac:dyDescent="0.4">
      <c r="A55" s="10" t="s">
        <v>204</v>
      </c>
      <c r="B55" s="11" t="s">
        <v>31</v>
      </c>
      <c r="C55" s="210"/>
      <c r="D55" s="210"/>
      <c r="E55" s="210"/>
      <c r="F55" s="210"/>
      <c r="G55" s="210"/>
      <c r="H55" s="210"/>
      <c r="I55" s="210"/>
      <c r="J55" s="60">
        <v>38.64</v>
      </c>
      <c r="K55" s="9"/>
      <c r="L55" s="9"/>
      <c r="M55" s="9"/>
      <c r="N55" s="9"/>
      <c r="O55" s="9"/>
      <c r="P55" s="9"/>
      <c r="Q55" s="9"/>
      <c r="R55" s="29"/>
      <c r="S55" s="29"/>
      <c r="T55" s="29"/>
      <c r="U55" s="29"/>
      <c r="V55" s="29"/>
    </row>
    <row r="56" spans="1:22" ht="26.25" hidden="1" x14ac:dyDescent="0.4">
      <c r="A56" s="10" t="s">
        <v>205</v>
      </c>
      <c r="B56" s="11" t="s">
        <v>31</v>
      </c>
      <c r="C56" s="210"/>
      <c r="D56" s="210"/>
      <c r="E56" s="210"/>
      <c r="F56" s="210"/>
      <c r="G56" s="210"/>
      <c r="H56" s="210"/>
      <c r="I56" s="210"/>
      <c r="J56" s="60">
        <v>35.06</v>
      </c>
      <c r="K56" s="9"/>
      <c r="L56" s="9"/>
      <c r="M56" s="9"/>
      <c r="N56" s="9"/>
      <c r="O56" s="9"/>
      <c r="P56" s="9"/>
      <c r="Q56" s="9"/>
      <c r="R56" s="29"/>
      <c r="S56" s="29"/>
      <c r="T56" s="29"/>
      <c r="U56" s="29"/>
      <c r="V56" s="29"/>
    </row>
    <row r="57" spans="1:22" ht="52.5" hidden="1" x14ac:dyDescent="0.4">
      <c r="A57" s="10" t="s">
        <v>206</v>
      </c>
      <c r="B57" s="11" t="s">
        <v>31</v>
      </c>
      <c r="C57" s="210"/>
      <c r="D57" s="210"/>
      <c r="E57" s="210"/>
      <c r="F57" s="210"/>
      <c r="G57" s="210"/>
      <c r="H57" s="210"/>
      <c r="I57" s="210"/>
      <c r="J57" s="60">
        <v>36.1</v>
      </c>
      <c r="K57" s="9"/>
      <c r="L57" s="9"/>
      <c r="M57" s="9"/>
      <c r="N57" s="9"/>
      <c r="O57" s="9"/>
      <c r="P57" s="9"/>
      <c r="Q57" s="9"/>
      <c r="R57" s="29"/>
      <c r="S57" s="29"/>
      <c r="T57" s="29"/>
      <c r="U57" s="29"/>
      <c r="V57" s="29"/>
    </row>
    <row r="58" spans="1:22" ht="52.5" hidden="1" x14ac:dyDescent="0.4">
      <c r="A58" s="10" t="s">
        <v>207</v>
      </c>
      <c r="B58" s="11" t="s">
        <v>31</v>
      </c>
      <c r="C58" s="210"/>
      <c r="D58" s="210"/>
      <c r="E58" s="210"/>
      <c r="F58" s="210"/>
      <c r="G58" s="210"/>
      <c r="H58" s="210"/>
      <c r="I58" s="210"/>
      <c r="J58" s="60">
        <v>92.03</v>
      </c>
      <c r="K58" s="9"/>
      <c r="L58" s="9"/>
      <c r="M58" s="9"/>
      <c r="N58" s="9"/>
      <c r="O58" s="9"/>
      <c r="P58" s="9"/>
      <c r="Q58" s="9"/>
      <c r="R58" s="29"/>
      <c r="S58" s="29"/>
      <c r="T58" s="29"/>
      <c r="U58" s="29"/>
      <c r="V58" s="29"/>
    </row>
    <row r="59" spans="1:22" ht="26.25" hidden="1" x14ac:dyDescent="0.4">
      <c r="A59" s="10" t="s">
        <v>208</v>
      </c>
      <c r="B59" s="11" t="s">
        <v>31</v>
      </c>
      <c r="C59" s="210"/>
      <c r="D59" s="210"/>
      <c r="E59" s="210"/>
      <c r="F59" s="210"/>
      <c r="G59" s="210"/>
      <c r="H59" s="210"/>
      <c r="I59" s="210"/>
      <c r="J59" s="60">
        <v>60.29</v>
      </c>
      <c r="K59" s="9"/>
      <c r="L59" s="9"/>
      <c r="M59" s="9"/>
      <c r="N59" s="9"/>
      <c r="O59" s="9"/>
      <c r="P59" s="9"/>
      <c r="Q59" s="9"/>
      <c r="R59" s="29"/>
      <c r="S59" s="29"/>
      <c r="T59" s="29"/>
      <c r="U59" s="29"/>
      <c r="V59" s="29"/>
    </row>
    <row r="60" spans="1:22" ht="26.25" hidden="1" x14ac:dyDescent="0.4">
      <c r="A60" s="10" t="s">
        <v>209</v>
      </c>
      <c r="B60" s="11" t="s">
        <v>31</v>
      </c>
      <c r="C60" s="210"/>
      <c r="D60" s="210"/>
      <c r="E60" s="210"/>
      <c r="F60" s="210"/>
      <c r="G60" s="210"/>
      <c r="H60" s="210"/>
      <c r="I60" s="210"/>
      <c r="J60" s="60">
        <v>23.54</v>
      </c>
      <c r="K60" s="9"/>
      <c r="L60" s="9"/>
      <c r="M60" s="9"/>
      <c r="N60" s="9"/>
      <c r="O60" s="9"/>
      <c r="P60" s="9"/>
      <c r="Q60" s="9"/>
      <c r="R60" s="29"/>
      <c r="S60" s="29"/>
      <c r="T60" s="29"/>
      <c r="U60" s="29"/>
      <c r="V60" s="29"/>
    </row>
    <row r="61" spans="1:22" ht="26.25" hidden="1" x14ac:dyDescent="0.4">
      <c r="A61" s="10" t="s">
        <v>210</v>
      </c>
      <c r="B61" s="50" t="s">
        <v>31</v>
      </c>
      <c r="C61" s="210"/>
      <c r="D61" s="210"/>
      <c r="E61" s="210"/>
      <c r="F61" s="210"/>
      <c r="G61" s="210"/>
      <c r="H61" s="210"/>
      <c r="I61" s="210"/>
      <c r="J61" s="60">
        <v>86.26</v>
      </c>
      <c r="K61" s="9"/>
      <c r="L61" s="9"/>
      <c r="M61" s="9"/>
      <c r="N61" s="9"/>
      <c r="O61" s="9"/>
      <c r="P61" s="9"/>
      <c r="Q61" s="9"/>
      <c r="R61" s="29"/>
      <c r="S61" s="29"/>
      <c r="T61" s="29"/>
      <c r="U61" s="29"/>
      <c r="V61" s="29"/>
    </row>
    <row r="62" spans="1:22" ht="26.25" hidden="1" x14ac:dyDescent="0.4">
      <c r="A62" s="10" t="s">
        <v>211</v>
      </c>
      <c r="B62" s="11" t="s">
        <v>31</v>
      </c>
      <c r="C62" s="210"/>
      <c r="D62" s="210"/>
      <c r="E62" s="210"/>
      <c r="F62" s="210"/>
      <c r="G62" s="210"/>
      <c r="H62" s="210"/>
      <c r="I62" s="210"/>
      <c r="J62" s="60">
        <v>173.67</v>
      </c>
      <c r="K62" s="9"/>
      <c r="L62" s="9"/>
      <c r="M62" s="9"/>
      <c r="N62" s="9"/>
      <c r="O62" s="9"/>
      <c r="P62" s="9"/>
      <c r="Q62" s="9"/>
      <c r="R62" s="29"/>
      <c r="S62" s="29"/>
      <c r="T62" s="29"/>
      <c r="U62" s="29"/>
      <c r="V62" s="29"/>
    </row>
    <row r="63" spans="1:22" ht="26.25" hidden="1" x14ac:dyDescent="0.4">
      <c r="A63" s="10" t="s">
        <v>212</v>
      </c>
      <c r="B63" s="11" t="s">
        <v>31</v>
      </c>
      <c r="C63" s="210"/>
      <c r="D63" s="210"/>
      <c r="E63" s="210"/>
      <c r="F63" s="210"/>
      <c r="G63" s="210"/>
      <c r="H63" s="210"/>
      <c r="I63" s="210"/>
      <c r="J63" s="60">
        <v>74.099999999999994</v>
      </c>
      <c r="K63" s="9"/>
      <c r="L63" s="9"/>
      <c r="M63" s="9"/>
      <c r="N63" s="9"/>
      <c r="O63" s="9"/>
      <c r="P63" s="9"/>
      <c r="Q63" s="9"/>
      <c r="R63" s="29"/>
      <c r="S63" s="29"/>
      <c r="T63" s="29"/>
      <c r="U63" s="29"/>
      <c r="V63" s="29"/>
    </row>
    <row r="64" spans="1:22" ht="31.5" hidden="1" customHeight="1" x14ac:dyDescent="0.4">
      <c r="A64" s="10" t="s">
        <v>213</v>
      </c>
      <c r="B64" s="11" t="s">
        <v>31</v>
      </c>
      <c r="C64" s="211"/>
      <c r="D64" s="211"/>
      <c r="E64" s="211"/>
      <c r="F64" s="211"/>
      <c r="G64" s="211"/>
      <c r="H64" s="211"/>
      <c r="I64" s="211"/>
      <c r="J64" s="11">
        <v>110.05</v>
      </c>
      <c r="K64" s="9"/>
      <c r="L64" s="9"/>
      <c r="M64" s="9"/>
      <c r="N64" s="9"/>
      <c r="O64" s="9"/>
      <c r="P64" s="9"/>
      <c r="Q64" s="9"/>
      <c r="R64" s="29"/>
      <c r="S64" s="29"/>
      <c r="T64" s="29"/>
      <c r="U64" s="29"/>
      <c r="V64" s="29"/>
    </row>
    <row r="65" spans="1:22" ht="26.25" hidden="1" x14ac:dyDescent="0.4">
      <c r="A65" s="10" t="s">
        <v>214</v>
      </c>
      <c r="B65" s="50" t="s">
        <v>31</v>
      </c>
      <c r="C65" s="210"/>
      <c r="D65" s="210"/>
      <c r="E65" s="210"/>
      <c r="F65" s="210"/>
      <c r="G65" s="210"/>
      <c r="H65" s="210"/>
      <c r="I65" s="210"/>
      <c r="J65" s="60">
        <v>103.16</v>
      </c>
      <c r="K65" s="9"/>
      <c r="L65" s="9"/>
      <c r="M65" s="9"/>
      <c r="N65" s="9"/>
      <c r="O65" s="9"/>
      <c r="P65" s="9"/>
      <c r="Q65" s="9"/>
      <c r="R65" s="29"/>
      <c r="S65" s="29"/>
      <c r="T65" s="29"/>
      <c r="U65" s="29"/>
      <c r="V65" s="29"/>
    </row>
    <row r="66" spans="1:22" ht="78.75" hidden="1" x14ac:dyDescent="0.4">
      <c r="A66" s="10" t="s">
        <v>215</v>
      </c>
      <c r="B66" s="50" t="s">
        <v>31</v>
      </c>
      <c r="C66" s="210"/>
      <c r="D66" s="210"/>
      <c r="E66" s="210"/>
      <c r="F66" s="210"/>
      <c r="G66" s="210"/>
      <c r="H66" s="210"/>
      <c r="I66" s="210"/>
      <c r="J66" s="60">
        <v>35.49</v>
      </c>
      <c r="K66" s="9"/>
      <c r="L66" s="9"/>
      <c r="M66" s="9"/>
      <c r="N66" s="9"/>
      <c r="O66" s="9"/>
      <c r="P66" s="9"/>
      <c r="Q66" s="9"/>
      <c r="R66" s="29"/>
      <c r="S66" s="29"/>
      <c r="T66" s="29"/>
      <c r="U66" s="29"/>
      <c r="V66" s="29"/>
    </row>
    <row r="67" spans="1:22" ht="26.25" hidden="1" x14ac:dyDescent="0.4">
      <c r="A67" s="10" t="s">
        <v>216</v>
      </c>
      <c r="B67" s="50" t="s">
        <v>31</v>
      </c>
      <c r="C67" s="210"/>
      <c r="D67" s="210"/>
      <c r="E67" s="210"/>
      <c r="F67" s="210"/>
      <c r="G67" s="210"/>
      <c r="H67" s="210"/>
      <c r="I67" s="210"/>
      <c r="J67" s="60">
        <v>29.63</v>
      </c>
      <c r="K67" s="9"/>
      <c r="L67" s="9"/>
      <c r="M67" s="9"/>
      <c r="N67" s="9"/>
      <c r="O67" s="9"/>
      <c r="P67" s="9"/>
      <c r="Q67" s="9"/>
      <c r="R67" s="29"/>
      <c r="S67" s="29"/>
      <c r="T67" s="29"/>
      <c r="U67" s="29"/>
      <c r="V67" s="29"/>
    </row>
    <row r="68" spans="1:22" ht="26.25" hidden="1" x14ac:dyDescent="0.4">
      <c r="A68" s="10" t="s">
        <v>217</v>
      </c>
      <c r="B68" s="50" t="s">
        <v>31</v>
      </c>
      <c r="C68" s="210"/>
      <c r="D68" s="210"/>
      <c r="E68" s="210"/>
      <c r="F68" s="210"/>
      <c r="G68" s="210"/>
      <c r="H68" s="210"/>
      <c r="I68" s="210"/>
      <c r="J68" s="60">
        <v>91.52</v>
      </c>
      <c r="K68" s="9"/>
      <c r="L68" s="9"/>
      <c r="M68" s="9"/>
      <c r="N68" s="9"/>
      <c r="O68" s="9"/>
      <c r="P68" s="9"/>
      <c r="Q68" s="9"/>
      <c r="R68" s="29"/>
      <c r="S68" s="29"/>
      <c r="T68" s="29"/>
      <c r="U68" s="29"/>
      <c r="V68" s="29"/>
    </row>
    <row r="69" spans="1:22" ht="26.25" hidden="1" x14ac:dyDescent="0.4">
      <c r="A69" s="10" t="s">
        <v>218</v>
      </c>
      <c r="B69" s="50" t="s">
        <v>31</v>
      </c>
      <c r="C69" s="210"/>
      <c r="D69" s="210"/>
      <c r="E69" s="210"/>
      <c r="F69" s="210"/>
      <c r="G69" s="210"/>
      <c r="H69" s="210"/>
      <c r="I69" s="210"/>
      <c r="J69" s="60">
        <v>4.29</v>
      </c>
      <c r="K69" s="9"/>
      <c r="L69" s="9"/>
      <c r="M69" s="9"/>
      <c r="N69" s="9"/>
      <c r="O69" s="9"/>
      <c r="P69" s="9"/>
      <c r="Q69" s="9"/>
      <c r="R69" s="29"/>
      <c r="S69" s="29"/>
      <c r="T69" s="29"/>
      <c r="U69" s="29"/>
      <c r="V69" s="29"/>
    </row>
    <row r="70" spans="1:22" ht="26.25" hidden="1" x14ac:dyDescent="0.4">
      <c r="A70" s="10" t="s">
        <v>219</v>
      </c>
      <c r="B70" s="50" t="s">
        <v>31</v>
      </c>
      <c r="C70" s="210"/>
      <c r="D70" s="210"/>
      <c r="E70" s="210"/>
      <c r="F70" s="210"/>
      <c r="G70" s="210"/>
      <c r="H70" s="210"/>
      <c r="I70" s="210"/>
      <c r="J70" s="60">
        <v>18.84</v>
      </c>
      <c r="K70" s="9"/>
      <c r="L70" s="9"/>
      <c r="M70" s="9"/>
      <c r="N70" s="9"/>
      <c r="O70" s="9"/>
      <c r="P70" s="9"/>
      <c r="Q70" s="9"/>
      <c r="R70" s="29"/>
      <c r="S70" s="29"/>
      <c r="T70" s="29"/>
      <c r="U70" s="29"/>
      <c r="V70" s="29"/>
    </row>
    <row r="71" spans="1:22" ht="26.25" hidden="1" x14ac:dyDescent="0.4">
      <c r="A71" s="10" t="s">
        <v>220</v>
      </c>
      <c r="B71" s="50" t="s">
        <v>31</v>
      </c>
      <c r="C71" s="210"/>
      <c r="D71" s="210"/>
      <c r="E71" s="210"/>
      <c r="F71" s="210"/>
      <c r="G71" s="210"/>
      <c r="H71" s="210"/>
      <c r="I71" s="210"/>
      <c r="J71" s="60">
        <v>120.3</v>
      </c>
      <c r="K71" s="9"/>
      <c r="L71" s="9"/>
      <c r="M71" s="9"/>
      <c r="N71" s="9"/>
      <c r="O71" s="9"/>
      <c r="P71" s="9"/>
      <c r="Q71" s="9"/>
      <c r="R71" s="29"/>
      <c r="S71" s="29"/>
      <c r="T71" s="29"/>
      <c r="U71" s="29"/>
      <c r="V71" s="29"/>
    </row>
    <row r="72" spans="1:22" ht="26.25" hidden="1" x14ac:dyDescent="0.4">
      <c r="A72" s="10" t="s">
        <v>221</v>
      </c>
      <c r="B72" s="50" t="s">
        <v>31</v>
      </c>
      <c r="C72" s="210"/>
      <c r="D72" s="210"/>
      <c r="E72" s="210"/>
      <c r="F72" s="210"/>
      <c r="G72" s="210"/>
      <c r="H72" s="210"/>
      <c r="I72" s="210"/>
      <c r="J72" s="60">
        <v>75.62</v>
      </c>
      <c r="K72" s="9"/>
      <c r="L72" s="9"/>
      <c r="M72" s="9"/>
      <c r="N72" s="9"/>
      <c r="O72" s="9"/>
      <c r="P72" s="9"/>
      <c r="Q72" s="9"/>
      <c r="R72" s="29"/>
      <c r="S72" s="29"/>
      <c r="T72" s="29"/>
      <c r="U72" s="29"/>
      <c r="V72" s="29"/>
    </row>
    <row r="73" spans="1:22" ht="26.25" hidden="1" x14ac:dyDescent="0.4">
      <c r="A73" s="10" t="s">
        <v>222</v>
      </c>
      <c r="B73" s="50" t="s">
        <v>31</v>
      </c>
      <c r="C73" s="210"/>
      <c r="D73" s="210"/>
      <c r="E73" s="210"/>
      <c r="F73" s="210"/>
      <c r="G73" s="210"/>
      <c r="H73" s="210"/>
      <c r="I73" s="210"/>
      <c r="J73" s="60">
        <v>8.6</v>
      </c>
      <c r="K73" s="9"/>
      <c r="L73" s="9"/>
      <c r="M73" s="9"/>
      <c r="N73" s="9"/>
      <c r="O73" s="9"/>
      <c r="P73" s="9"/>
      <c r="Q73" s="9"/>
      <c r="R73" s="29"/>
      <c r="S73" s="29"/>
      <c r="T73" s="29"/>
      <c r="U73" s="29"/>
      <c r="V73" s="29"/>
    </row>
    <row r="74" spans="1:22" ht="26.25" hidden="1" x14ac:dyDescent="0.4">
      <c r="A74" s="10" t="s">
        <v>223</v>
      </c>
      <c r="B74" s="50" t="s">
        <v>31</v>
      </c>
      <c r="C74" s="210"/>
      <c r="D74" s="210"/>
      <c r="E74" s="210"/>
      <c r="F74" s="210"/>
      <c r="G74" s="210"/>
      <c r="H74" s="210"/>
      <c r="I74" s="210"/>
      <c r="J74" s="60">
        <v>15.7</v>
      </c>
      <c r="K74" s="9"/>
      <c r="L74" s="9"/>
      <c r="M74" s="9"/>
      <c r="N74" s="9"/>
      <c r="O74" s="9"/>
      <c r="P74" s="9"/>
      <c r="Q74" s="9"/>
      <c r="R74" s="29"/>
      <c r="S74" s="29"/>
      <c r="T74" s="29"/>
      <c r="U74" s="29"/>
      <c r="V74" s="29"/>
    </row>
    <row r="75" spans="1:22" ht="52.5" hidden="1" x14ac:dyDescent="0.4">
      <c r="A75" s="10" t="s">
        <v>224</v>
      </c>
      <c r="B75" s="50" t="s">
        <v>31</v>
      </c>
      <c r="C75" s="210"/>
      <c r="D75" s="210"/>
      <c r="E75" s="210"/>
      <c r="F75" s="210"/>
      <c r="G75" s="210"/>
      <c r="H75" s="210"/>
      <c r="I75" s="210"/>
      <c r="J75" s="60">
        <v>16.37</v>
      </c>
      <c r="K75" s="9"/>
      <c r="L75" s="9"/>
      <c r="M75" s="9"/>
      <c r="N75" s="9"/>
      <c r="O75" s="9"/>
      <c r="P75" s="9"/>
      <c r="Q75" s="9"/>
      <c r="R75" s="29"/>
      <c r="S75" s="29"/>
      <c r="T75" s="29"/>
      <c r="U75" s="29"/>
      <c r="V75" s="29"/>
    </row>
    <row r="76" spans="1:22" ht="26.25" x14ac:dyDescent="0.4">
      <c r="A76" s="10" t="s">
        <v>225</v>
      </c>
      <c r="B76" s="50" t="s">
        <v>31</v>
      </c>
      <c r="C76" s="15">
        <v>1144.3</v>
      </c>
      <c r="D76" s="201">
        <v>1011.85</v>
      </c>
      <c r="E76" s="201">
        <v>905.56</v>
      </c>
      <c r="F76" s="201">
        <v>905.8</v>
      </c>
      <c r="G76" s="201">
        <v>905.8</v>
      </c>
      <c r="H76" s="201">
        <v>905.8</v>
      </c>
      <c r="I76" s="201">
        <v>905.8</v>
      </c>
      <c r="J76" s="60">
        <v>25.08</v>
      </c>
      <c r="K76" s="9">
        <f>C76*J76</f>
        <v>28699.043999999998</v>
      </c>
      <c r="L76" s="9">
        <f>D76*$J$76</f>
        <v>25377.198</v>
      </c>
      <c r="M76" s="9">
        <f t="shared" ref="M76:Q76" si="9">E76*$J$76</f>
        <v>22711.444799999997</v>
      </c>
      <c r="N76" s="9">
        <f t="shared" si="9"/>
        <v>22717.463999999996</v>
      </c>
      <c r="O76" s="9">
        <f t="shared" si="9"/>
        <v>22717.463999999996</v>
      </c>
      <c r="P76" s="9">
        <f t="shared" si="9"/>
        <v>22717.463999999996</v>
      </c>
      <c r="Q76" s="9">
        <f t="shared" si="9"/>
        <v>22717.463999999996</v>
      </c>
      <c r="R76" s="212">
        <f>M76/L76*100</f>
        <v>89.495478578840732</v>
      </c>
      <c r="S76" s="212">
        <f t="shared" ref="S76:V91" si="10">N76/M76*100</f>
        <v>100.02650293740889</v>
      </c>
      <c r="T76" s="212">
        <f t="shared" si="10"/>
        <v>100</v>
      </c>
      <c r="U76" s="212">
        <f t="shared" si="10"/>
        <v>100</v>
      </c>
      <c r="V76" s="212">
        <f t="shared" si="10"/>
        <v>100</v>
      </c>
    </row>
    <row r="77" spans="1:22" ht="52.5" x14ac:dyDescent="0.4">
      <c r="A77" s="10" t="s">
        <v>226</v>
      </c>
      <c r="B77" s="50" t="s">
        <v>31</v>
      </c>
      <c r="C77" s="15">
        <v>138.30000000000001</v>
      </c>
      <c r="D77" s="201">
        <v>113.28</v>
      </c>
      <c r="E77" s="201">
        <v>98.12</v>
      </c>
      <c r="F77" s="201">
        <v>113</v>
      </c>
      <c r="G77" s="201">
        <v>113</v>
      </c>
      <c r="H77" s="201">
        <v>113</v>
      </c>
      <c r="I77" s="201">
        <v>113</v>
      </c>
      <c r="J77" s="60">
        <v>97.04</v>
      </c>
      <c r="K77" s="9">
        <f>C77*J77</f>
        <v>13420.632000000001</v>
      </c>
      <c r="L77" s="9">
        <f>D77*$J$77</f>
        <v>10992.691200000001</v>
      </c>
      <c r="M77" s="9">
        <f t="shared" ref="M77:Q77" si="11">E77*$J$77</f>
        <v>9521.5648000000019</v>
      </c>
      <c r="N77" s="9">
        <f t="shared" si="11"/>
        <v>10965.52</v>
      </c>
      <c r="O77" s="9">
        <f t="shared" si="11"/>
        <v>10965.52</v>
      </c>
      <c r="P77" s="9">
        <f t="shared" si="11"/>
        <v>10965.52</v>
      </c>
      <c r="Q77" s="9">
        <f t="shared" si="11"/>
        <v>10965.52</v>
      </c>
      <c r="R77" s="212">
        <f t="shared" ref="R77:R80" si="12">M77/L77*100</f>
        <v>86.61723163841809</v>
      </c>
      <c r="S77" s="212">
        <f t="shared" si="10"/>
        <v>115.1651039543416</v>
      </c>
      <c r="T77" s="212">
        <f t="shared" si="10"/>
        <v>100</v>
      </c>
      <c r="U77" s="212">
        <f t="shared" si="10"/>
        <v>100</v>
      </c>
      <c r="V77" s="212">
        <f t="shared" si="10"/>
        <v>100</v>
      </c>
    </row>
    <row r="78" spans="1:22" ht="52.5" hidden="1" x14ac:dyDescent="0.4">
      <c r="A78" s="10" t="s">
        <v>227</v>
      </c>
      <c r="B78" s="50" t="s">
        <v>31</v>
      </c>
      <c r="C78" s="15"/>
      <c r="D78" s="201"/>
      <c r="E78" s="201"/>
      <c r="F78" s="210"/>
      <c r="G78" s="210"/>
      <c r="H78" s="210"/>
      <c r="I78" s="210"/>
      <c r="J78" s="60">
        <v>40.6</v>
      </c>
      <c r="K78" s="9"/>
      <c r="L78" s="9"/>
      <c r="M78" s="9"/>
      <c r="N78" s="9"/>
      <c r="O78" s="9"/>
      <c r="P78" s="9"/>
      <c r="Q78" s="9"/>
      <c r="R78" s="212" t="e">
        <f t="shared" si="12"/>
        <v>#DIV/0!</v>
      </c>
      <c r="S78" s="212" t="e">
        <f t="shared" si="10"/>
        <v>#DIV/0!</v>
      </c>
      <c r="T78" s="212" t="e">
        <f t="shared" si="10"/>
        <v>#DIV/0!</v>
      </c>
      <c r="U78" s="212" t="e">
        <f t="shared" si="10"/>
        <v>#DIV/0!</v>
      </c>
      <c r="V78" s="212" t="e">
        <f t="shared" si="10"/>
        <v>#DIV/0!</v>
      </c>
    </row>
    <row r="79" spans="1:22" ht="78.75" hidden="1" x14ac:dyDescent="0.4">
      <c r="A79" s="10" t="s">
        <v>228</v>
      </c>
      <c r="B79" s="50" t="s">
        <v>31</v>
      </c>
      <c r="C79" s="15"/>
      <c r="D79" s="201"/>
      <c r="E79" s="201"/>
      <c r="F79" s="210"/>
      <c r="G79" s="210"/>
      <c r="H79" s="210"/>
      <c r="I79" s="210"/>
      <c r="J79" s="60">
        <v>47.2</v>
      </c>
      <c r="K79" s="9"/>
      <c r="L79" s="9"/>
      <c r="M79" s="9"/>
      <c r="N79" s="9"/>
      <c r="O79" s="9"/>
      <c r="P79" s="9"/>
      <c r="Q79" s="9"/>
      <c r="R79" s="212" t="e">
        <f t="shared" si="12"/>
        <v>#DIV/0!</v>
      </c>
      <c r="S79" s="212" t="e">
        <f t="shared" si="10"/>
        <v>#DIV/0!</v>
      </c>
      <c r="T79" s="212" t="e">
        <f t="shared" si="10"/>
        <v>#DIV/0!</v>
      </c>
      <c r="U79" s="212" t="e">
        <f t="shared" si="10"/>
        <v>#DIV/0!</v>
      </c>
      <c r="V79" s="212" t="e">
        <f t="shared" si="10"/>
        <v>#DIV/0!</v>
      </c>
    </row>
    <row r="80" spans="1:22" ht="52.5" hidden="1" x14ac:dyDescent="0.4">
      <c r="A80" s="10" t="s">
        <v>229</v>
      </c>
      <c r="B80" s="50" t="s">
        <v>31</v>
      </c>
      <c r="C80" s="15"/>
      <c r="D80" s="201"/>
      <c r="E80" s="201"/>
      <c r="F80" s="210"/>
      <c r="G80" s="210"/>
      <c r="H80" s="210"/>
      <c r="I80" s="210"/>
      <c r="J80" s="60">
        <v>67.5</v>
      </c>
      <c r="K80" s="9"/>
      <c r="L80" s="9"/>
      <c r="M80" s="9"/>
      <c r="N80" s="9"/>
      <c r="O80" s="9"/>
      <c r="P80" s="9"/>
      <c r="Q80" s="9"/>
      <c r="R80" s="212" t="e">
        <f t="shared" si="12"/>
        <v>#DIV/0!</v>
      </c>
      <c r="S80" s="212" t="e">
        <f t="shared" si="10"/>
        <v>#DIV/0!</v>
      </c>
      <c r="T80" s="212" t="e">
        <f t="shared" si="10"/>
        <v>#DIV/0!</v>
      </c>
      <c r="U80" s="212" t="e">
        <f t="shared" si="10"/>
        <v>#DIV/0!</v>
      </c>
      <c r="V80" s="212" t="e">
        <f t="shared" si="10"/>
        <v>#DIV/0!</v>
      </c>
    </row>
    <row r="81" spans="1:22" ht="52.5" x14ac:dyDescent="0.4">
      <c r="A81" s="10" t="s">
        <v>230</v>
      </c>
      <c r="B81" s="50" t="s">
        <v>31</v>
      </c>
      <c r="C81" s="15">
        <v>2104.6999999999998</v>
      </c>
      <c r="D81" s="201">
        <v>3542.62</v>
      </c>
      <c r="E81" s="201">
        <v>1441.96</v>
      </c>
      <c r="F81" s="201">
        <v>2520</v>
      </c>
      <c r="G81" s="201">
        <v>2595.6</v>
      </c>
      <c r="H81" s="201">
        <v>2673.47</v>
      </c>
      <c r="I81" s="201">
        <v>2673.47</v>
      </c>
      <c r="J81" s="60">
        <v>14.2</v>
      </c>
      <c r="K81" s="9">
        <f>C81*J81</f>
        <v>29886.739999999994</v>
      </c>
      <c r="L81" s="9">
        <f>D81*$J$81</f>
        <v>50305.203999999998</v>
      </c>
      <c r="M81" s="9">
        <f t="shared" ref="M81:P81" si="13">E81*$J$81</f>
        <v>20475.831999999999</v>
      </c>
      <c r="N81" s="9">
        <f t="shared" si="13"/>
        <v>35784</v>
      </c>
      <c r="O81" s="9">
        <f t="shared" si="13"/>
        <v>36857.519999999997</v>
      </c>
      <c r="P81" s="9">
        <f t="shared" si="13"/>
        <v>37963.273999999998</v>
      </c>
      <c r="Q81" s="9">
        <f>I81*$J$81</f>
        <v>37963.273999999998</v>
      </c>
      <c r="R81" s="212">
        <f>M81/L81*100</f>
        <v>40.703208359914413</v>
      </c>
      <c r="S81" s="212">
        <f t="shared" si="10"/>
        <v>174.76212932397573</v>
      </c>
      <c r="T81" s="212">
        <f t="shared" si="10"/>
        <v>102.99999999999999</v>
      </c>
      <c r="U81" s="212">
        <f t="shared" si="10"/>
        <v>103.00007705347511</v>
      </c>
      <c r="V81" s="212">
        <f>Q81/P81*100</f>
        <v>100</v>
      </c>
    </row>
    <row r="82" spans="1:22" ht="26.25" hidden="1" x14ac:dyDescent="0.4">
      <c r="A82" s="10" t="s">
        <v>231</v>
      </c>
      <c r="B82" s="50" t="s">
        <v>33</v>
      </c>
      <c r="C82" s="7"/>
      <c r="D82" s="7"/>
      <c r="E82" s="7"/>
      <c r="F82" s="7"/>
      <c r="G82" s="7"/>
      <c r="H82" s="7"/>
      <c r="I82" s="7"/>
      <c r="J82" s="60">
        <v>12.62</v>
      </c>
      <c r="K82" s="9">
        <f t="shared" ref="K82:K101" si="14">C82*J82</f>
        <v>0</v>
      </c>
      <c r="L82" s="9">
        <f t="shared" ref="L82:L101" si="15">D82*J82</f>
        <v>0</v>
      </c>
      <c r="M82" s="9">
        <f t="shared" ref="M82:M101" si="16">E82*J82</f>
        <v>0</v>
      </c>
      <c r="N82" s="9">
        <f t="shared" ref="N82:N101" si="17">F82*J82</f>
        <v>0</v>
      </c>
      <c r="O82" s="9">
        <f t="shared" ref="O82:O101" si="18">G82*J82</f>
        <v>0</v>
      </c>
      <c r="P82" s="9">
        <f t="shared" ref="P82:P101" si="19">H82*J82</f>
        <v>0</v>
      </c>
      <c r="Q82" s="9"/>
      <c r="R82" s="212" t="e">
        <f t="shared" ref="R82:V96" si="20">M82/L82*100</f>
        <v>#DIV/0!</v>
      </c>
      <c r="S82" s="212" t="e">
        <f t="shared" si="10"/>
        <v>#DIV/0!</v>
      </c>
      <c r="T82" s="212" t="e">
        <f t="shared" si="10"/>
        <v>#DIV/0!</v>
      </c>
      <c r="U82" s="212" t="e">
        <f t="shared" si="10"/>
        <v>#DIV/0!</v>
      </c>
      <c r="V82" s="212" t="e">
        <f t="shared" si="10"/>
        <v>#DIV/0!</v>
      </c>
    </row>
    <row r="83" spans="1:22" ht="26.25" hidden="1" x14ac:dyDescent="0.4">
      <c r="A83" s="10" t="s">
        <v>232</v>
      </c>
      <c r="B83" s="50" t="s">
        <v>31</v>
      </c>
      <c r="C83" s="7"/>
      <c r="D83" s="7"/>
      <c r="E83" s="7"/>
      <c r="F83" s="7"/>
      <c r="G83" s="7"/>
      <c r="H83" s="7"/>
      <c r="I83" s="7"/>
      <c r="J83" s="60">
        <v>49.22</v>
      </c>
      <c r="K83" s="9">
        <f t="shared" si="14"/>
        <v>0</v>
      </c>
      <c r="L83" s="9">
        <f t="shared" si="15"/>
        <v>0</v>
      </c>
      <c r="M83" s="9">
        <f t="shared" si="16"/>
        <v>0</v>
      </c>
      <c r="N83" s="9">
        <f t="shared" si="17"/>
        <v>0</v>
      </c>
      <c r="O83" s="9">
        <f t="shared" si="18"/>
        <v>0</v>
      </c>
      <c r="P83" s="9">
        <f t="shared" si="19"/>
        <v>0</v>
      </c>
      <c r="Q83" s="9"/>
      <c r="R83" s="212" t="e">
        <f t="shared" si="20"/>
        <v>#DIV/0!</v>
      </c>
      <c r="S83" s="212" t="e">
        <f t="shared" si="10"/>
        <v>#DIV/0!</v>
      </c>
      <c r="T83" s="212" t="e">
        <f t="shared" si="10"/>
        <v>#DIV/0!</v>
      </c>
      <c r="U83" s="212" t="e">
        <f t="shared" si="10"/>
        <v>#DIV/0!</v>
      </c>
      <c r="V83" s="212" t="e">
        <f t="shared" si="10"/>
        <v>#DIV/0!</v>
      </c>
    </row>
    <row r="84" spans="1:22" ht="26.25" hidden="1" x14ac:dyDescent="0.4">
      <c r="A84" s="10" t="s">
        <v>233</v>
      </c>
      <c r="B84" s="50" t="s">
        <v>31</v>
      </c>
      <c r="C84" s="7"/>
      <c r="D84" s="7"/>
      <c r="E84" s="7"/>
      <c r="F84" s="7"/>
      <c r="G84" s="7"/>
      <c r="H84" s="7"/>
      <c r="I84" s="7"/>
      <c r="J84" s="60">
        <v>58</v>
      </c>
      <c r="K84" s="9">
        <f t="shared" si="14"/>
        <v>0</v>
      </c>
      <c r="L84" s="9">
        <f t="shared" si="15"/>
        <v>0</v>
      </c>
      <c r="M84" s="9">
        <f t="shared" si="16"/>
        <v>0</v>
      </c>
      <c r="N84" s="9">
        <f t="shared" si="17"/>
        <v>0</v>
      </c>
      <c r="O84" s="9">
        <f t="shared" si="18"/>
        <v>0</v>
      </c>
      <c r="P84" s="9">
        <f t="shared" si="19"/>
        <v>0</v>
      </c>
      <c r="Q84" s="9"/>
      <c r="R84" s="212" t="e">
        <f t="shared" si="20"/>
        <v>#DIV/0!</v>
      </c>
      <c r="S84" s="212" t="e">
        <f t="shared" si="10"/>
        <v>#DIV/0!</v>
      </c>
      <c r="T84" s="212" t="e">
        <f t="shared" si="10"/>
        <v>#DIV/0!</v>
      </c>
      <c r="U84" s="212" t="e">
        <f t="shared" si="10"/>
        <v>#DIV/0!</v>
      </c>
      <c r="V84" s="212" t="e">
        <f t="shared" si="10"/>
        <v>#DIV/0!</v>
      </c>
    </row>
    <row r="85" spans="1:22" ht="26.25" hidden="1" x14ac:dyDescent="0.4">
      <c r="A85" s="10" t="s">
        <v>234</v>
      </c>
      <c r="B85" s="50" t="s">
        <v>31</v>
      </c>
      <c r="C85" s="7"/>
      <c r="D85" s="7"/>
      <c r="E85" s="7"/>
      <c r="F85" s="7"/>
      <c r="G85" s="7"/>
      <c r="H85" s="7"/>
      <c r="I85" s="7"/>
      <c r="J85" s="60">
        <v>85.11</v>
      </c>
      <c r="K85" s="9">
        <f t="shared" si="14"/>
        <v>0</v>
      </c>
      <c r="L85" s="9">
        <f t="shared" si="15"/>
        <v>0</v>
      </c>
      <c r="M85" s="9">
        <f t="shared" si="16"/>
        <v>0</v>
      </c>
      <c r="N85" s="9">
        <f t="shared" si="17"/>
        <v>0</v>
      </c>
      <c r="O85" s="9">
        <f t="shared" si="18"/>
        <v>0</v>
      </c>
      <c r="P85" s="9">
        <f t="shared" si="19"/>
        <v>0</v>
      </c>
      <c r="Q85" s="9"/>
      <c r="R85" s="212" t="e">
        <f t="shared" si="20"/>
        <v>#DIV/0!</v>
      </c>
      <c r="S85" s="212" t="e">
        <f t="shared" si="10"/>
        <v>#DIV/0!</v>
      </c>
      <c r="T85" s="212" t="e">
        <f t="shared" si="10"/>
        <v>#DIV/0!</v>
      </c>
      <c r="U85" s="212" t="e">
        <f t="shared" si="10"/>
        <v>#DIV/0!</v>
      </c>
      <c r="V85" s="212" t="e">
        <f t="shared" si="10"/>
        <v>#DIV/0!</v>
      </c>
    </row>
    <row r="86" spans="1:22" ht="26.25" hidden="1" x14ac:dyDescent="0.4">
      <c r="A86" s="10" t="s">
        <v>235</v>
      </c>
      <c r="B86" s="50" t="s">
        <v>31</v>
      </c>
      <c r="C86" s="7"/>
      <c r="D86" s="7"/>
      <c r="E86" s="7"/>
      <c r="F86" s="7"/>
      <c r="G86" s="7"/>
      <c r="H86" s="7"/>
      <c r="I86" s="7"/>
      <c r="J86" s="60">
        <v>1.93</v>
      </c>
      <c r="K86" s="9">
        <f t="shared" si="14"/>
        <v>0</v>
      </c>
      <c r="L86" s="9">
        <f t="shared" si="15"/>
        <v>0</v>
      </c>
      <c r="M86" s="9">
        <f t="shared" si="16"/>
        <v>0</v>
      </c>
      <c r="N86" s="9">
        <f t="shared" si="17"/>
        <v>0</v>
      </c>
      <c r="O86" s="9">
        <f t="shared" si="18"/>
        <v>0</v>
      </c>
      <c r="P86" s="9">
        <f t="shared" si="19"/>
        <v>0</v>
      </c>
      <c r="Q86" s="9"/>
      <c r="R86" s="212" t="e">
        <f t="shared" si="20"/>
        <v>#DIV/0!</v>
      </c>
      <c r="S86" s="212" t="e">
        <f t="shared" si="10"/>
        <v>#DIV/0!</v>
      </c>
      <c r="T86" s="212" t="e">
        <f t="shared" si="10"/>
        <v>#DIV/0!</v>
      </c>
      <c r="U86" s="212" t="e">
        <f t="shared" si="10"/>
        <v>#DIV/0!</v>
      </c>
      <c r="V86" s="212" t="e">
        <f t="shared" si="10"/>
        <v>#DIV/0!</v>
      </c>
    </row>
    <row r="87" spans="1:22" ht="26.25" hidden="1" x14ac:dyDescent="0.4">
      <c r="A87" s="10" t="s">
        <v>236</v>
      </c>
      <c r="B87" s="50" t="s">
        <v>31</v>
      </c>
      <c r="C87" s="7"/>
      <c r="D87" s="7"/>
      <c r="E87" s="7"/>
      <c r="F87" s="7"/>
      <c r="G87" s="7"/>
      <c r="H87" s="7"/>
      <c r="I87" s="7"/>
      <c r="J87" s="60">
        <v>279.60000000000002</v>
      </c>
      <c r="K87" s="9">
        <f t="shared" si="14"/>
        <v>0</v>
      </c>
      <c r="L87" s="9">
        <f t="shared" si="15"/>
        <v>0</v>
      </c>
      <c r="M87" s="9">
        <f t="shared" si="16"/>
        <v>0</v>
      </c>
      <c r="N87" s="9">
        <f t="shared" si="17"/>
        <v>0</v>
      </c>
      <c r="O87" s="9">
        <f t="shared" si="18"/>
        <v>0</v>
      </c>
      <c r="P87" s="9">
        <f t="shared" si="19"/>
        <v>0</v>
      </c>
      <c r="Q87" s="9"/>
      <c r="R87" s="212" t="e">
        <f t="shared" si="20"/>
        <v>#DIV/0!</v>
      </c>
      <c r="S87" s="212" t="e">
        <f t="shared" si="10"/>
        <v>#DIV/0!</v>
      </c>
      <c r="T87" s="212" t="e">
        <f t="shared" si="10"/>
        <v>#DIV/0!</v>
      </c>
      <c r="U87" s="212" t="e">
        <f t="shared" si="10"/>
        <v>#DIV/0!</v>
      </c>
      <c r="V87" s="212" t="e">
        <f t="shared" si="10"/>
        <v>#DIV/0!</v>
      </c>
    </row>
    <row r="88" spans="1:22" ht="105" hidden="1" x14ac:dyDescent="0.4">
      <c r="A88" s="10" t="s">
        <v>237</v>
      </c>
      <c r="B88" s="50" t="s">
        <v>31</v>
      </c>
      <c r="C88" s="7"/>
      <c r="D88" s="7"/>
      <c r="E88" s="7"/>
      <c r="F88" s="7"/>
      <c r="G88" s="7"/>
      <c r="H88" s="7"/>
      <c r="I88" s="7"/>
      <c r="J88" s="60">
        <v>61.1</v>
      </c>
      <c r="K88" s="9">
        <f t="shared" si="14"/>
        <v>0</v>
      </c>
      <c r="L88" s="9">
        <f t="shared" si="15"/>
        <v>0</v>
      </c>
      <c r="M88" s="9">
        <f t="shared" si="16"/>
        <v>0</v>
      </c>
      <c r="N88" s="9">
        <f t="shared" si="17"/>
        <v>0</v>
      </c>
      <c r="O88" s="9">
        <f t="shared" si="18"/>
        <v>0</v>
      </c>
      <c r="P88" s="9">
        <f t="shared" si="19"/>
        <v>0</v>
      </c>
      <c r="Q88" s="9"/>
      <c r="R88" s="212" t="e">
        <f t="shared" si="20"/>
        <v>#DIV/0!</v>
      </c>
      <c r="S88" s="212" t="e">
        <f t="shared" si="10"/>
        <v>#DIV/0!</v>
      </c>
      <c r="T88" s="212" t="e">
        <f t="shared" si="10"/>
        <v>#DIV/0!</v>
      </c>
      <c r="U88" s="212" t="e">
        <f t="shared" si="10"/>
        <v>#DIV/0!</v>
      </c>
      <c r="V88" s="212" t="e">
        <f t="shared" si="10"/>
        <v>#DIV/0!</v>
      </c>
    </row>
    <row r="89" spans="1:22" ht="52.5" hidden="1" x14ac:dyDescent="0.4">
      <c r="A89" s="10" t="s">
        <v>238</v>
      </c>
      <c r="B89" s="50" t="s">
        <v>31</v>
      </c>
      <c r="C89" s="7"/>
      <c r="D89" s="7"/>
      <c r="E89" s="7"/>
      <c r="F89" s="7"/>
      <c r="G89" s="7"/>
      <c r="H89" s="7"/>
      <c r="I89" s="7"/>
      <c r="J89" s="60">
        <v>75.14</v>
      </c>
      <c r="K89" s="9">
        <f t="shared" si="14"/>
        <v>0</v>
      </c>
      <c r="L89" s="9">
        <f t="shared" si="15"/>
        <v>0</v>
      </c>
      <c r="M89" s="9">
        <f t="shared" si="16"/>
        <v>0</v>
      </c>
      <c r="N89" s="9">
        <f t="shared" si="17"/>
        <v>0</v>
      </c>
      <c r="O89" s="9">
        <f t="shared" si="18"/>
        <v>0</v>
      </c>
      <c r="P89" s="9">
        <f t="shared" si="19"/>
        <v>0</v>
      </c>
      <c r="Q89" s="9"/>
      <c r="R89" s="212" t="e">
        <f t="shared" si="20"/>
        <v>#DIV/0!</v>
      </c>
      <c r="S89" s="212" t="e">
        <f t="shared" si="10"/>
        <v>#DIV/0!</v>
      </c>
      <c r="T89" s="212" t="e">
        <f t="shared" si="10"/>
        <v>#DIV/0!</v>
      </c>
      <c r="U89" s="212" t="e">
        <f t="shared" si="10"/>
        <v>#DIV/0!</v>
      </c>
      <c r="V89" s="212" t="e">
        <f t="shared" si="10"/>
        <v>#DIV/0!</v>
      </c>
    </row>
    <row r="90" spans="1:22" ht="78.75" hidden="1" x14ac:dyDescent="0.4">
      <c r="A90" s="10" t="s">
        <v>239</v>
      </c>
      <c r="B90" s="50" t="s">
        <v>31</v>
      </c>
      <c r="C90" s="7"/>
      <c r="D90" s="7"/>
      <c r="E90" s="7"/>
      <c r="F90" s="7"/>
      <c r="G90" s="7"/>
      <c r="H90" s="7"/>
      <c r="I90" s="7"/>
      <c r="J90" s="60">
        <v>110.7</v>
      </c>
      <c r="K90" s="9">
        <f t="shared" si="14"/>
        <v>0</v>
      </c>
      <c r="L90" s="9">
        <f t="shared" si="15"/>
        <v>0</v>
      </c>
      <c r="M90" s="9">
        <f t="shared" si="16"/>
        <v>0</v>
      </c>
      <c r="N90" s="9">
        <f t="shared" si="17"/>
        <v>0</v>
      </c>
      <c r="O90" s="9">
        <f t="shared" si="18"/>
        <v>0</v>
      </c>
      <c r="P90" s="9">
        <f t="shared" si="19"/>
        <v>0</v>
      </c>
      <c r="Q90" s="9"/>
      <c r="R90" s="212" t="e">
        <f t="shared" si="20"/>
        <v>#DIV/0!</v>
      </c>
      <c r="S90" s="212" t="e">
        <f t="shared" si="10"/>
        <v>#DIV/0!</v>
      </c>
      <c r="T90" s="212" t="e">
        <f t="shared" si="10"/>
        <v>#DIV/0!</v>
      </c>
      <c r="U90" s="212" t="e">
        <f t="shared" si="10"/>
        <v>#DIV/0!</v>
      </c>
      <c r="V90" s="212" t="e">
        <f t="shared" si="10"/>
        <v>#DIV/0!</v>
      </c>
    </row>
    <row r="91" spans="1:22" ht="53.25" hidden="1" customHeight="1" x14ac:dyDescent="0.4">
      <c r="A91" s="10" t="s">
        <v>240</v>
      </c>
      <c r="B91" s="50" t="s">
        <v>31</v>
      </c>
      <c r="C91" s="7"/>
      <c r="D91" s="7"/>
      <c r="E91" s="7"/>
      <c r="F91" s="7"/>
      <c r="G91" s="7"/>
      <c r="H91" s="7"/>
      <c r="I91" s="7"/>
      <c r="J91" s="60">
        <v>62.2</v>
      </c>
      <c r="K91" s="9">
        <f t="shared" si="14"/>
        <v>0</v>
      </c>
      <c r="L91" s="9">
        <f t="shared" si="15"/>
        <v>0</v>
      </c>
      <c r="M91" s="9">
        <f t="shared" si="16"/>
        <v>0</v>
      </c>
      <c r="N91" s="9">
        <f t="shared" si="17"/>
        <v>0</v>
      </c>
      <c r="O91" s="9">
        <f t="shared" si="18"/>
        <v>0</v>
      </c>
      <c r="P91" s="9">
        <f t="shared" si="19"/>
        <v>0</v>
      </c>
      <c r="Q91" s="9"/>
      <c r="R91" s="212" t="e">
        <f t="shared" si="20"/>
        <v>#DIV/0!</v>
      </c>
      <c r="S91" s="212" t="e">
        <f t="shared" si="10"/>
        <v>#DIV/0!</v>
      </c>
      <c r="T91" s="212" t="e">
        <f t="shared" si="10"/>
        <v>#DIV/0!</v>
      </c>
      <c r="U91" s="212" t="e">
        <f t="shared" si="10"/>
        <v>#DIV/0!</v>
      </c>
      <c r="V91" s="212" t="e">
        <f t="shared" si="10"/>
        <v>#DIV/0!</v>
      </c>
    </row>
    <row r="92" spans="1:22" ht="26.25" hidden="1" x14ac:dyDescent="0.4">
      <c r="A92" s="10" t="s">
        <v>241</v>
      </c>
      <c r="B92" s="11" t="s">
        <v>31</v>
      </c>
      <c r="C92" s="7"/>
      <c r="D92" s="7"/>
      <c r="E92" s="7"/>
      <c r="F92" s="7"/>
      <c r="G92" s="7"/>
      <c r="H92" s="7"/>
      <c r="I92" s="7"/>
      <c r="J92" s="60">
        <v>20.6</v>
      </c>
      <c r="K92" s="9">
        <f t="shared" si="14"/>
        <v>0</v>
      </c>
      <c r="L92" s="9">
        <f t="shared" si="15"/>
        <v>0</v>
      </c>
      <c r="M92" s="9">
        <f t="shared" si="16"/>
        <v>0</v>
      </c>
      <c r="N92" s="9">
        <f t="shared" si="17"/>
        <v>0</v>
      </c>
      <c r="O92" s="9">
        <f t="shared" si="18"/>
        <v>0</v>
      </c>
      <c r="P92" s="9">
        <f t="shared" si="19"/>
        <v>0</v>
      </c>
      <c r="Q92" s="9"/>
      <c r="R92" s="212" t="e">
        <f t="shared" si="20"/>
        <v>#DIV/0!</v>
      </c>
      <c r="S92" s="212" t="e">
        <f t="shared" si="20"/>
        <v>#DIV/0!</v>
      </c>
      <c r="T92" s="212" t="e">
        <f t="shared" si="20"/>
        <v>#DIV/0!</v>
      </c>
      <c r="U92" s="212" t="e">
        <f t="shared" si="20"/>
        <v>#DIV/0!</v>
      </c>
      <c r="V92" s="212" t="e">
        <f t="shared" si="20"/>
        <v>#DIV/0!</v>
      </c>
    </row>
    <row r="93" spans="1:22" ht="26.25" hidden="1" x14ac:dyDescent="0.4">
      <c r="A93" s="10" t="s">
        <v>242</v>
      </c>
      <c r="B93" s="11" t="s">
        <v>31</v>
      </c>
      <c r="C93" s="7"/>
      <c r="D93" s="7"/>
      <c r="E93" s="7"/>
      <c r="F93" s="7"/>
      <c r="G93" s="7"/>
      <c r="H93" s="7"/>
      <c r="I93" s="7"/>
      <c r="J93" s="60">
        <v>9.57</v>
      </c>
      <c r="K93" s="9">
        <f t="shared" si="14"/>
        <v>0</v>
      </c>
      <c r="L93" s="9">
        <f t="shared" si="15"/>
        <v>0</v>
      </c>
      <c r="M93" s="9">
        <f t="shared" si="16"/>
        <v>0</v>
      </c>
      <c r="N93" s="9">
        <f t="shared" si="17"/>
        <v>0</v>
      </c>
      <c r="O93" s="9">
        <f t="shared" si="18"/>
        <v>0</v>
      </c>
      <c r="P93" s="9">
        <f t="shared" si="19"/>
        <v>0</v>
      </c>
      <c r="Q93" s="9"/>
      <c r="R93" s="212" t="e">
        <f t="shared" si="20"/>
        <v>#DIV/0!</v>
      </c>
      <c r="S93" s="212" t="e">
        <f t="shared" si="20"/>
        <v>#DIV/0!</v>
      </c>
      <c r="T93" s="212" t="e">
        <f t="shared" si="20"/>
        <v>#DIV/0!</v>
      </c>
      <c r="U93" s="212" t="e">
        <f t="shared" si="20"/>
        <v>#DIV/0!</v>
      </c>
      <c r="V93" s="212" t="e">
        <f t="shared" si="20"/>
        <v>#DIV/0!</v>
      </c>
    </row>
    <row r="94" spans="1:22" ht="24.75" hidden="1" customHeight="1" x14ac:dyDescent="0.4">
      <c r="A94" s="10" t="s">
        <v>243</v>
      </c>
      <c r="B94" s="11" t="s">
        <v>31</v>
      </c>
      <c r="C94" s="7"/>
      <c r="D94" s="7"/>
      <c r="E94" s="7"/>
      <c r="F94" s="7"/>
      <c r="G94" s="7"/>
      <c r="H94" s="7"/>
      <c r="I94" s="7"/>
      <c r="J94" s="60">
        <v>5.21</v>
      </c>
      <c r="K94" s="9">
        <f t="shared" si="14"/>
        <v>0</v>
      </c>
      <c r="L94" s="9">
        <f t="shared" si="15"/>
        <v>0</v>
      </c>
      <c r="M94" s="9">
        <f t="shared" si="16"/>
        <v>0</v>
      </c>
      <c r="N94" s="9">
        <f t="shared" si="17"/>
        <v>0</v>
      </c>
      <c r="O94" s="9">
        <f t="shared" si="18"/>
        <v>0</v>
      </c>
      <c r="P94" s="9">
        <f t="shared" si="19"/>
        <v>0</v>
      </c>
      <c r="Q94" s="9"/>
      <c r="R94" s="212" t="e">
        <f t="shared" si="20"/>
        <v>#DIV/0!</v>
      </c>
      <c r="S94" s="212" t="e">
        <f t="shared" si="20"/>
        <v>#DIV/0!</v>
      </c>
      <c r="T94" s="212" t="e">
        <f t="shared" si="20"/>
        <v>#DIV/0!</v>
      </c>
      <c r="U94" s="212" t="e">
        <f t="shared" si="20"/>
        <v>#DIV/0!</v>
      </c>
      <c r="V94" s="212" t="e">
        <f t="shared" si="20"/>
        <v>#DIV/0!</v>
      </c>
    </row>
    <row r="95" spans="1:22" ht="26.25" hidden="1" x14ac:dyDescent="0.4">
      <c r="A95" s="10" t="s">
        <v>244</v>
      </c>
      <c r="B95" s="11" t="s">
        <v>31</v>
      </c>
      <c r="C95" s="7"/>
      <c r="D95" s="7"/>
      <c r="E95" s="7"/>
      <c r="F95" s="7"/>
      <c r="G95" s="7"/>
      <c r="H95" s="7"/>
      <c r="I95" s="7"/>
      <c r="J95" s="60">
        <v>7.25</v>
      </c>
      <c r="K95" s="9">
        <f t="shared" si="14"/>
        <v>0</v>
      </c>
      <c r="L95" s="9">
        <f t="shared" si="15"/>
        <v>0</v>
      </c>
      <c r="M95" s="9">
        <f t="shared" si="16"/>
        <v>0</v>
      </c>
      <c r="N95" s="9">
        <f t="shared" si="17"/>
        <v>0</v>
      </c>
      <c r="O95" s="9">
        <f t="shared" si="18"/>
        <v>0</v>
      </c>
      <c r="P95" s="9">
        <f t="shared" si="19"/>
        <v>0</v>
      </c>
      <c r="Q95" s="9"/>
      <c r="R95" s="212" t="e">
        <f t="shared" si="20"/>
        <v>#DIV/0!</v>
      </c>
      <c r="S95" s="212" t="e">
        <f t="shared" si="20"/>
        <v>#DIV/0!</v>
      </c>
      <c r="T95" s="212" t="e">
        <f t="shared" si="20"/>
        <v>#DIV/0!</v>
      </c>
      <c r="U95" s="212" t="e">
        <f t="shared" si="20"/>
        <v>#DIV/0!</v>
      </c>
      <c r="V95" s="212" t="e">
        <f t="shared" si="20"/>
        <v>#DIV/0!</v>
      </c>
    </row>
    <row r="96" spans="1:22" s="220" customFormat="1" ht="26.25" x14ac:dyDescent="0.4">
      <c r="A96" s="213"/>
      <c r="B96" s="214"/>
      <c r="C96" s="215"/>
      <c r="D96" s="215"/>
      <c r="E96" s="215"/>
      <c r="F96" s="215"/>
      <c r="G96" s="215"/>
      <c r="H96" s="215"/>
      <c r="I96" s="216"/>
      <c r="J96" s="217"/>
      <c r="K96" s="218">
        <f>K76+K77+K81</f>
        <v>72006.415999999997</v>
      </c>
      <c r="L96" s="218">
        <f t="shared" ref="L96:Q96" si="21">L76+L77+L81</f>
        <v>86675.093200000003</v>
      </c>
      <c r="M96" s="218">
        <f>M76+M77+M81</f>
        <v>52708.8416</v>
      </c>
      <c r="N96" s="218">
        <f t="shared" si="21"/>
        <v>69466.983999999997</v>
      </c>
      <c r="O96" s="218">
        <f t="shared" si="21"/>
        <v>70540.503999999986</v>
      </c>
      <c r="P96" s="218">
        <f t="shared" si="21"/>
        <v>71646.258000000002</v>
      </c>
      <c r="Q96" s="218">
        <f t="shared" si="21"/>
        <v>71646.258000000002</v>
      </c>
      <c r="R96" s="219">
        <f>M96/L96*100</f>
        <v>60.811981451668053</v>
      </c>
      <c r="S96" s="219">
        <f t="shared" si="20"/>
        <v>131.79379757038711</v>
      </c>
      <c r="T96" s="219">
        <f t="shared" si="20"/>
        <v>101.5453672207793</v>
      </c>
      <c r="U96" s="219">
        <f t="shared" si="20"/>
        <v>101.56754479667455</v>
      </c>
      <c r="V96" s="219">
        <f>Q96/P96*100</f>
        <v>100</v>
      </c>
    </row>
    <row r="97" spans="1:22" ht="29.25" customHeight="1" x14ac:dyDescent="0.4">
      <c r="A97" s="6" t="s">
        <v>245</v>
      </c>
      <c r="B97" s="29"/>
      <c r="C97" s="7"/>
      <c r="D97" s="7"/>
      <c r="E97" s="7"/>
      <c r="F97" s="7"/>
      <c r="G97" s="7"/>
      <c r="H97" s="7"/>
      <c r="I97" s="110"/>
      <c r="J97" s="113"/>
      <c r="K97" s="9"/>
      <c r="L97" s="9"/>
      <c r="M97" s="9"/>
      <c r="N97" s="9"/>
      <c r="O97" s="9"/>
      <c r="P97" s="9"/>
      <c r="Q97" s="9"/>
      <c r="R97" s="29"/>
      <c r="S97" s="29"/>
      <c r="T97" s="29"/>
      <c r="U97" s="29"/>
      <c r="V97" s="29"/>
    </row>
    <row r="98" spans="1:22" ht="52.5" hidden="1" x14ac:dyDescent="0.4">
      <c r="A98" s="10" t="s">
        <v>246</v>
      </c>
      <c r="B98" s="11" t="s">
        <v>252</v>
      </c>
      <c r="C98" s="7"/>
      <c r="D98" s="7"/>
      <c r="E98" s="7"/>
      <c r="F98" s="7"/>
      <c r="G98" s="7"/>
      <c r="H98" s="7"/>
      <c r="I98" s="7"/>
      <c r="J98" s="60">
        <v>747.6</v>
      </c>
      <c r="K98" s="9">
        <f t="shared" si="14"/>
        <v>0</v>
      </c>
      <c r="L98" s="9">
        <f t="shared" si="15"/>
        <v>0</v>
      </c>
      <c r="M98" s="9">
        <f t="shared" si="16"/>
        <v>0</v>
      </c>
      <c r="N98" s="9">
        <f t="shared" si="17"/>
        <v>0</v>
      </c>
      <c r="O98" s="9">
        <f t="shared" si="18"/>
        <v>0</v>
      </c>
      <c r="P98" s="9">
        <f t="shared" si="19"/>
        <v>0</v>
      </c>
      <c r="Q98" s="9"/>
      <c r="R98" s="29"/>
      <c r="S98" s="29"/>
      <c r="T98" s="29"/>
      <c r="U98" s="29"/>
      <c r="V98" s="29"/>
    </row>
    <row r="99" spans="1:22" ht="52.5" hidden="1" x14ac:dyDescent="0.4">
      <c r="A99" s="10" t="s">
        <v>247</v>
      </c>
      <c r="B99" s="11" t="s">
        <v>252</v>
      </c>
      <c r="C99" s="7"/>
      <c r="D99" s="7"/>
      <c r="E99" s="7"/>
      <c r="F99" s="7"/>
      <c r="G99" s="7"/>
      <c r="H99" s="7"/>
      <c r="I99" s="7"/>
      <c r="J99" s="60">
        <v>134.16</v>
      </c>
      <c r="K99" s="9">
        <f t="shared" si="14"/>
        <v>0</v>
      </c>
      <c r="L99" s="9">
        <f t="shared" si="15"/>
        <v>0</v>
      </c>
      <c r="M99" s="9">
        <f t="shared" si="16"/>
        <v>0</v>
      </c>
      <c r="N99" s="9">
        <f t="shared" si="17"/>
        <v>0</v>
      </c>
      <c r="O99" s="9">
        <f t="shared" si="18"/>
        <v>0</v>
      </c>
      <c r="P99" s="9">
        <f t="shared" si="19"/>
        <v>0</v>
      </c>
      <c r="Q99" s="9"/>
      <c r="R99" s="29"/>
      <c r="S99" s="29"/>
      <c r="T99" s="29"/>
      <c r="U99" s="29"/>
      <c r="V99" s="29"/>
    </row>
    <row r="100" spans="1:22" ht="30" hidden="1" customHeight="1" x14ac:dyDescent="0.4">
      <c r="A100" s="10" t="s">
        <v>248</v>
      </c>
      <c r="B100" s="50" t="s">
        <v>31</v>
      </c>
      <c r="C100" s="7"/>
      <c r="D100" s="7"/>
      <c r="E100" s="7"/>
      <c r="F100" s="7"/>
      <c r="G100" s="7"/>
      <c r="H100" s="7"/>
      <c r="I100" s="7"/>
      <c r="J100" s="60">
        <v>115.5</v>
      </c>
      <c r="K100" s="9">
        <f t="shared" si="14"/>
        <v>0</v>
      </c>
      <c r="L100" s="9">
        <f t="shared" si="15"/>
        <v>0</v>
      </c>
      <c r="M100" s="9">
        <f t="shared" si="16"/>
        <v>0</v>
      </c>
      <c r="N100" s="9">
        <f t="shared" si="17"/>
        <v>0</v>
      </c>
      <c r="O100" s="9">
        <f t="shared" si="18"/>
        <v>0</v>
      </c>
      <c r="P100" s="9">
        <f t="shared" si="19"/>
        <v>0</v>
      </c>
      <c r="Q100" s="9"/>
      <c r="R100" s="29"/>
      <c r="S100" s="29"/>
      <c r="T100" s="29"/>
      <c r="U100" s="29"/>
      <c r="V100" s="29"/>
    </row>
    <row r="101" spans="1:22" ht="52.5" hidden="1" x14ac:dyDescent="0.4">
      <c r="A101" s="10" t="s">
        <v>249</v>
      </c>
      <c r="B101" s="11" t="s">
        <v>253</v>
      </c>
      <c r="C101" s="7"/>
      <c r="D101" s="7"/>
      <c r="E101" s="7"/>
      <c r="F101" s="7"/>
      <c r="G101" s="7"/>
      <c r="H101" s="7"/>
      <c r="I101" s="7"/>
      <c r="J101" s="60">
        <v>4.7</v>
      </c>
      <c r="K101" s="9">
        <f t="shared" si="14"/>
        <v>0</v>
      </c>
      <c r="L101" s="9">
        <f t="shared" si="15"/>
        <v>0</v>
      </c>
      <c r="M101" s="9">
        <f t="shared" si="16"/>
        <v>0</v>
      </c>
      <c r="N101" s="9">
        <f t="shared" si="17"/>
        <v>0</v>
      </c>
      <c r="O101" s="9">
        <f t="shared" si="18"/>
        <v>0</v>
      </c>
      <c r="P101" s="9">
        <f t="shared" si="19"/>
        <v>0</v>
      </c>
      <c r="Q101" s="9"/>
      <c r="R101" s="29"/>
      <c r="S101" s="29"/>
      <c r="T101" s="29"/>
      <c r="U101" s="29"/>
      <c r="V101" s="29"/>
    </row>
    <row r="102" spans="1:22" ht="115.5" customHeight="1" x14ac:dyDescent="0.4">
      <c r="A102" s="10" t="s">
        <v>250</v>
      </c>
      <c r="B102" s="11" t="s">
        <v>252</v>
      </c>
      <c r="C102" s="15">
        <v>3183.1875</v>
      </c>
      <c r="D102" s="201">
        <v>3041</v>
      </c>
      <c r="E102" s="201">
        <v>3719.3</v>
      </c>
      <c r="F102" s="201">
        <v>4971.1099999999997</v>
      </c>
      <c r="G102" s="201">
        <v>4971.1099999999997</v>
      </c>
      <c r="H102" s="201">
        <v>4971.1099999999997</v>
      </c>
      <c r="I102" s="201">
        <v>4971.1099999999997</v>
      </c>
      <c r="J102" s="60">
        <v>4.7</v>
      </c>
      <c r="K102" s="9">
        <f>C102*J102</f>
        <v>14960.981250000001</v>
      </c>
      <c r="L102" s="9">
        <f>D102*$J$102</f>
        <v>14292.7</v>
      </c>
      <c r="M102" s="9">
        <f>E102*$J$102</f>
        <v>17480.710000000003</v>
      </c>
      <c r="N102" s="9">
        <f>F102*$J$102</f>
        <v>23364.217000000001</v>
      </c>
      <c r="O102" s="9">
        <f t="shared" ref="O102:Q102" si="22">G102*$J$102</f>
        <v>23364.217000000001</v>
      </c>
      <c r="P102" s="9">
        <f t="shared" si="22"/>
        <v>23364.217000000001</v>
      </c>
      <c r="Q102" s="9">
        <f t="shared" si="22"/>
        <v>23364.217000000001</v>
      </c>
      <c r="R102" s="212">
        <f>M102/L102*100</f>
        <v>122.30516277540285</v>
      </c>
      <c r="S102" s="212">
        <f t="shared" ref="S102:V103" si="23">N102/M102*100</f>
        <v>133.65713978436801</v>
      </c>
      <c r="T102" s="212">
        <f t="shared" si="23"/>
        <v>100</v>
      </c>
      <c r="U102" s="212">
        <f t="shared" si="23"/>
        <v>100</v>
      </c>
      <c r="V102" s="212">
        <f t="shared" si="23"/>
        <v>100</v>
      </c>
    </row>
    <row r="103" spans="1:22" ht="40.5" customHeight="1" x14ac:dyDescent="0.4">
      <c r="A103" s="34" t="s">
        <v>32</v>
      </c>
      <c r="B103" s="53" t="s">
        <v>57</v>
      </c>
      <c r="C103" s="16" t="s">
        <v>57</v>
      </c>
      <c r="D103" s="16" t="s">
        <v>57</v>
      </c>
      <c r="E103" s="16" t="s">
        <v>57</v>
      </c>
      <c r="F103" s="16"/>
      <c r="G103" s="16" t="s">
        <v>57</v>
      </c>
      <c r="H103" s="16"/>
      <c r="I103" s="16"/>
      <c r="J103" s="62" t="s">
        <v>57</v>
      </c>
      <c r="K103" s="17">
        <f>K102+K96</f>
        <v>86967.397249999995</v>
      </c>
      <c r="L103" s="17">
        <f>L102+L96</f>
        <v>100967.7932</v>
      </c>
      <c r="M103" s="17">
        <f t="shared" ref="M103:Q103" si="24">M102+M96</f>
        <v>70189.551600000006</v>
      </c>
      <c r="N103" s="17">
        <f>N102+N96</f>
        <v>92831.201000000001</v>
      </c>
      <c r="O103" s="17">
        <f t="shared" si="24"/>
        <v>93904.72099999999</v>
      </c>
      <c r="P103" s="17">
        <f t="shared" si="24"/>
        <v>95010.475000000006</v>
      </c>
      <c r="Q103" s="17">
        <f t="shared" si="24"/>
        <v>95010.475000000006</v>
      </c>
      <c r="R103" s="219">
        <f>M103/L103*100</f>
        <v>69.516772998065292</v>
      </c>
      <c r="S103" s="219">
        <f>N103/M103*100</f>
        <v>132.25786300649341</v>
      </c>
      <c r="T103" s="219">
        <f>O103/N103*100</f>
        <v>101.1564215354706</v>
      </c>
      <c r="U103" s="219">
        <f t="shared" si="23"/>
        <v>101.17752759203663</v>
      </c>
      <c r="V103" s="219">
        <f t="shared" si="23"/>
        <v>100</v>
      </c>
    </row>
    <row r="104" spans="1:22" ht="27" customHeight="1" x14ac:dyDescent="0.2">
      <c r="A104" s="335" t="s">
        <v>254</v>
      </c>
      <c r="B104" s="336"/>
      <c r="C104" s="336"/>
      <c r="D104" s="336"/>
      <c r="E104" s="336"/>
      <c r="F104" s="336"/>
      <c r="G104" s="336"/>
      <c r="H104" s="336"/>
      <c r="I104" s="336"/>
      <c r="J104" s="336"/>
      <c r="K104" s="336"/>
      <c r="L104" s="336"/>
      <c r="M104" s="336"/>
      <c r="N104" s="336"/>
      <c r="O104" s="336"/>
      <c r="P104" s="336"/>
      <c r="Q104" s="336"/>
      <c r="R104" s="336"/>
      <c r="S104" s="336"/>
      <c r="T104" s="336"/>
      <c r="U104" s="336"/>
      <c r="V104" s="336"/>
    </row>
    <row r="105" spans="1:22" ht="57.75" hidden="1" customHeight="1" x14ac:dyDescent="0.4">
      <c r="A105" s="20" t="s">
        <v>260</v>
      </c>
      <c r="B105" s="11" t="s">
        <v>261</v>
      </c>
      <c r="C105" s="7"/>
      <c r="D105" s="7"/>
      <c r="E105" s="7"/>
      <c r="F105" s="7"/>
      <c r="G105" s="7"/>
      <c r="H105" s="7"/>
      <c r="I105" s="7"/>
      <c r="J105" s="60">
        <v>945.2</v>
      </c>
      <c r="K105" s="9"/>
      <c r="L105" s="9"/>
      <c r="M105" s="9"/>
      <c r="N105" s="9"/>
      <c r="O105" s="9"/>
      <c r="P105" s="9"/>
      <c r="Q105" s="9"/>
      <c r="R105" s="29"/>
      <c r="S105" s="29"/>
      <c r="T105" s="29"/>
      <c r="U105" s="29"/>
      <c r="V105" s="29"/>
    </row>
    <row r="106" spans="1:22" ht="48.75" customHeight="1" x14ac:dyDescent="0.4">
      <c r="A106" s="10" t="s">
        <v>257</v>
      </c>
      <c r="B106" s="11" t="s">
        <v>50</v>
      </c>
      <c r="C106" s="15">
        <v>176.79</v>
      </c>
      <c r="D106" s="201">
        <v>180.072</v>
      </c>
      <c r="E106" s="201">
        <v>182.80699999999999</v>
      </c>
      <c r="F106" s="201">
        <v>210</v>
      </c>
      <c r="G106" s="201">
        <v>218</v>
      </c>
      <c r="H106" s="201">
        <v>224</v>
      </c>
      <c r="I106" s="201">
        <v>231</v>
      </c>
      <c r="J106" s="60">
        <v>1700.21</v>
      </c>
      <c r="K106" s="9">
        <f>C106*J106</f>
        <v>300580.12589999998</v>
      </c>
      <c r="L106" s="9">
        <f>D106*$J$106</f>
        <v>306160.21512000001</v>
      </c>
      <c r="M106" s="9">
        <f>E106*$J$106</f>
        <v>310810.28946999996</v>
      </c>
      <c r="N106" s="9">
        <f t="shared" ref="N106:P106" si="25">F106*$J$106</f>
        <v>357044.10000000003</v>
      </c>
      <c r="O106" s="9">
        <f t="shared" si="25"/>
        <v>370645.78</v>
      </c>
      <c r="P106" s="9">
        <f t="shared" si="25"/>
        <v>380847.04000000004</v>
      </c>
      <c r="Q106" s="9">
        <f>I106*$J$106</f>
        <v>392748.51</v>
      </c>
      <c r="R106" s="212">
        <f>M106/L106*100</f>
        <v>101.51883690968056</v>
      </c>
      <c r="S106" s="212">
        <f t="shared" ref="S106:V111" si="26">N106/M106*100</f>
        <v>114.87525094772084</v>
      </c>
      <c r="T106" s="212">
        <f t="shared" si="26"/>
        <v>103.80952380952382</v>
      </c>
      <c r="U106" s="212">
        <f t="shared" si="26"/>
        <v>102.75229357798166</v>
      </c>
      <c r="V106" s="212">
        <f>Q106/P106*100</f>
        <v>103.125</v>
      </c>
    </row>
    <row r="107" spans="1:22" ht="54" customHeight="1" x14ac:dyDescent="0.4">
      <c r="A107" s="20" t="s">
        <v>258</v>
      </c>
      <c r="B107" s="11" t="s">
        <v>261</v>
      </c>
      <c r="C107" s="15">
        <v>192.50899999999999</v>
      </c>
      <c r="D107" s="201">
        <v>150.97399999999999</v>
      </c>
      <c r="E107" s="201">
        <v>157.62299999999999</v>
      </c>
      <c r="F107" s="201">
        <v>163.75</v>
      </c>
      <c r="G107" s="201">
        <v>164</v>
      </c>
      <c r="H107" s="201">
        <v>164</v>
      </c>
      <c r="I107" s="201">
        <v>164</v>
      </c>
      <c r="J107" s="60">
        <v>501.51</v>
      </c>
      <c r="K107" s="9">
        <f>C107*J107</f>
        <v>96545.188589999991</v>
      </c>
      <c r="L107" s="9">
        <f>D107*J107</f>
        <v>75714.97073999999</v>
      </c>
      <c r="M107" s="9">
        <f>E107*J107</f>
        <v>79049.510729999995</v>
      </c>
      <c r="N107" s="9">
        <f>F107*J107</f>
        <v>82122.262499999997</v>
      </c>
      <c r="O107" s="9">
        <f>G107*J107</f>
        <v>82247.64</v>
      </c>
      <c r="P107" s="9">
        <f>H107*J107</f>
        <v>82247.64</v>
      </c>
      <c r="Q107" s="9">
        <f>I107*J107</f>
        <v>82247.64</v>
      </c>
      <c r="R107" s="212">
        <f>M107/L107*100</f>
        <v>104.4040695748937</v>
      </c>
      <c r="S107" s="212">
        <f t="shared" si="26"/>
        <v>103.8871230721405</v>
      </c>
      <c r="T107" s="212">
        <f t="shared" si="26"/>
        <v>100.15267175572519</v>
      </c>
      <c r="U107" s="212">
        <f t="shared" si="26"/>
        <v>100</v>
      </c>
      <c r="V107" s="212">
        <f t="shared" si="26"/>
        <v>100</v>
      </c>
    </row>
    <row r="108" spans="1:22" ht="52.5" hidden="1" customHeight="1" x14ac:dyDescent="0.4">
      <c r="A108" s="10" t="s">
        <v>259</v>
      </c>
      <c r="B108" s="11" t="s">
        <v>261</v>
      </c>
      <c r="C108" s="15"/>
      <c r="D108" s="201"/>
      <c r="E108" s="201"/>
      <c r="F108" s="210"/>
      <c r="G108" s="210"/>
      <c r="H108" s="210"/>
      <c r="I108" s="210"/>
      <c r="J108" s="60">
        <v>444.92</v>
      </c>
      <c r="K108" s="9">
        <f t="shared" ref="K108" si="27">C108*J108</f>
        <v>0</v>
      </c>
      <c r="L108" s="9">
        <f t="shared" ref="L108" si="28">D108*J108</f>
        <v>0</v>
      </c>
      <c r="M108" s="9">
        <f t="shared" ref="M108" si="29">E108*J108</f>
        <v>0</v>
      </c>
      <c r="N108" s="9">
        <f t="shared" ref="N108:N109" si="30">F108*J108</f>
        <v>0</v>
      </c>
      <c r="O108" s="9">
        <f t="shared" ref="O108:O109" si="31">G108*J108</f>
        <v>0</v>
      </c>
      <c r="P108" s="9">
        <f t="shared" ref="P108:P109" si="32">H108*J108</f>
        <v>0</v>
      </c>
      <c r="Q108" s="9">
        <f t="shared" ref="Q108:Q109" si="33">I108*J108</f>
        <v>0</v>
      </c>
      <c r="R108" s="212" t="e">
        <f t="shared" ref="R108" si="34">M108/L108*100</f>
        <v>#DIV/0!</v>
      </c>
      <c r="S108" s="212" t="e">
        <f t="shared" si="26"/>
        <v>#DIV/0!</v>
      </c>
      <c r="T108" s="212" t="e">
        <f t="shared" si="26"/>
        <v>#DIV/0!</v>
      </c>
      <c r="U108" s="212" t="e">
        <f t="shared" si="26"/>
        <v>#DIV/0!</v>
      </c>
      <c r="V108" s="212" t="e">
        <f t="shared" si="26"/>
        <v>#DIV/0!</v>
      </c>
    </row>
    <row r="109" spans="1:22" ht="57.75" customHeight="1" x14ac:dyDescent="0.4">
      <c r="A109" s="20" t="s">
        <v>260</v>
      </c>
      <c r="B109" s="11" t="s">
        <v>261</v>
      </c>
      <c r="C109" s="15">
        <v>141.523</v>
      </c>
      <c r="D109" s="201">
        <v>133.38200000000001</v>
      </c>
      <c r="E109" s="201">
        <v>128.80500000000001</v>
      </c>
      <c r="F109" s="201">
        <v>128.80000000000001</v>
      </c>
      <c r="G109" s="201">
        <v>128.80000000000001</v>
      </c>
      <c r="H109" s="201">
        <v>128.80000000000001</v>
      </c>
      <c r="I109" s="201">
        <v>128.80000000000001</v>
      </c>
      <c r="J109" s="60">
        <v>945.2</v>
      </c>
      <c r="K109" s="9">
        <f>C109*J109</f>
        <v>133767.53959999999</v>
      </c>
      <c r="L109" s="9">
        <f>D109*J109</f>
        <v>126072.66640000002</v>
      </c>
      <c r="M109" s="9">
        <f>E109*J109</f>
        <v>121746.48600000002</v>
      </c>
      <c r="N109" s="9">
        <f t="shared" si="30"/>
        <v>121741.76000000002</v>
      </c>
      <c r="O109" s="9">
        <f t="shared" si="31"/>
        <v>121741.76000000002</v>
      </c>
      <c r="P109" s="9">
        <f t="shared" si="32"/>
        <v>121741.76000000002</v>
      </c>
      <c r="Q109" s="9">
        <f t="shared" si="33"/>
        <v>121741.76000000002</v>
      </c>
      <c r="R109" s="212">
        <f>M109/L109*100</f>
        <v>96.568502496588749</v>
      </c>
      <c r="S109" s="212">
        <f t="shared" si="26"/>
        <v>99.996118163114787</v>
      </c>
      <c r="T109" s="212">
        <f t="shared" si="26"/>
        <v>100</v>
      </c>
      <c r="U109" s="212">
        <f t="shared" si="26"/>
        <v>100</v>
      </c>
      <c r="V109" s="212">
        <f t="shared" si="26"/>
        <v>100</v>
      </c>
    </row>
    <row r="110" spans="1:22" ht="26.25" customHeight="1" x14ac:dyDescent="0.4">
      <c r="A110" s="114" t="s">
        <v>32</v>
      </c>
      <c r="B110" s="109"/>
      <c r="C110" s="110"/>
      <c r="D110" s="110"/>
      <c r="E110" s="110"/>
      <c r="F110" s="110"/>
      <c r="G110" s="110"/>
      <c r="H110" s="110"/>
      <c r="I110" s="110"/>
      <c r="J110" s="111"/>
      <c r="K110" s="112">
        <f>SUM(K106:K109)</f>
        <v>530892.85408999992</v>
      </c>
      <c r="L110" s="112">
        <f>SUM(L106:L109)</f>
        <v>507947.85225999996</v>
      </c>
      <c r="M110" s="112">
        <f>SUM(M106:M109)</f>
        <v>511606.28619999997</v>
      </c>
      <c r="N110" s="112">
        <f t="shared" ref="N110:O110" si="35">SUM(N106:N109)</f>
        <v>560908.12250000006</v>
      </c>
      <c r="O110" s="112">
        <f t="shared" si="35"/>
        <v>574635.18000000005</v>
      </c>
      <c r="P110" s="112">
        <f>SUM(P106:P109)</f>
        <v>584836.44000000006</v>
      </c>
      <c r="Q110" s="112">
        <f>SUM(Q106:Q109)</f>
        <v>596737.91</v>
      </c>
      <c r="R110" s="219">
        <f>M110/L110*100</f>
        <v>100.7202380960413</v>
      </c>
      <c r="S110" s="219">
        <f t="shared" si="26"/>
        <v>109.63667523833489</v>
      </c>
      <c r="T110" s="219">
        <f t="shared" si="26"/>
        <v>102.44729162395041</v>
      </c>
      <c r="U110" s="219">
        <f t="shared" si="26"/>
        <v>101.77525852141527</v>
      </c>
      <c r="V110" s="219">
        <f t="shared" si="26"/>
        <v>102.03500828368355</v>
      </c>
    </row>
    <row r="111" spans="1:22" ht="71.25" customHeight="1" x14ac:dyDescent="0.4">
      <c r="A111" s="35" t="s">
        <v>262</v>
      </c>
      <c r="B111" s="16" t="s">
        <v>57</v>
      </c>
      <c r="C111" s="16" t="s">
        <v>57</v>
      </c>
      <c r="D111" s="16" t="s">
        <v>57</v>
      </c>
      <c r="E111" s="16" t="s">
        <v>57</v>
      </c>
      <c r="F111" s="16"/>
      <c r="G111" s="16" t="s">
        <v>57</v>
      </c>
      <c r="H111" s="16"/>
      <c r="I111" s="16"/>
      <c r="J111" s="119" t="s">
        <v>57</v>
      </c>
      <c r="K111" s="17">
        <f>K20+K103+K110</f>
        <v>2365901.1541399998</v>
      </c>
      <c r="L111" s="17">
        <f t="shared" ref="L111:O111" si="36">L20+L103+L110</f>
        <v>2500711.2514599999</v>
      </c>
      <c r="M111" s="17">
        <f t="shared" si="36"/>
        <v>2357822.6686</v>
      </c>
      <c r="N111" s="17">
        <f t="shared" si="36"/>
        <v>2479497.7336999997</v>
      </c>
      <c r="O111" s="17">
        <f t="shared" si="36"/>
        <v>2554550.3325999998</v>
      </c>
      <c r="P111" s="17">
        <f>P20+P103+P110</f>
        <v>2639404.9128</v>
      </c>
      <c r="Q111" s="17">
        <f>Q20+Q103+Q110</f>
        <v>2735577.8904000004</v>
      </c>
      <c r="R111" s="219">
        <f t="shared" ref="R111" si="37">M111/L111*100</f>
        <v>94.286082298522999</v>
      </c>
      <c r="S111" s="219">
        <f t="shared" si="26"/>
        <v>105.1604841500759</v>
      </c>
      <c r="T111" s="219">
        <f t="shared" si="26"/>
        <v>103.02692750551556</v>
      </c>
      <c r="U111" s="219">
        <f t="shared" si="26"/>
        <v>103.32170320220844</v>
      </c>
      <c r="V111" s="219">
        <f>Q111/P111*100</f>
        <v>103.64373715959997</v>
      </c>
    </row>
    <row r="112" spans="1:22" ht="27" hidden="1" x14ac:dyDescent="0.35">
      <c r="A112" s="337" t="s">
        <v>263</v>
      </c>
      <c r="B112" s="338"/>
      <c r="C112" s="338"/>
      <c r="D112" s="338"/>
      <c r="E112" s="338"/>
      <c r="F112" s="338"/>
      <c r="G112" s="338"/>
      <c r="H112" s="338"/>
      <c r="I112" s="338"/>
      <c r="J112" s="338"/>
      <c r="K112" s="338"/>
      <c r="L112" s="338"/>
      <c r="M112" s="338"/>
      <c r="N112" s="338"/>
      <c r="O112" s="338"/>
      <c r="P112" s="338"/>
      <c r="Q112" s="338"/>
      <c r="R112" s="338"/>
      <c r="S112" s="338"/>
      <c r="T112" s="338"/>
      <c r="U112" s="338"/>
      <c r="V112" s="338"/>
    </row>
    <row r="113" spans="1:24" ht="26.25" hidden="1" x14ac:dyDescent="0.4">
      <c r="A113" s="18" t="s">
        <v>36</v>
      </c>
      <c r="B113" s="49" t="s">
        <v>31</v>
      </c>
      <c r="C113" s="4"/>
      <c r="D113" s="4"/>
      <c r="E113" s="4"/>
      <c r="F113" s="4"/>
      <c r="G113" s="4"/>
      <c r="H113" s="4"/>
      <c r="I113" s="4"/>
      <c r="J113" s="59" t="s">
        <v>54</v>
      </c>
      <c r="K113" s="19"/>
      <c r="L113" s="19"/>
      <c r="M113" s="19"/>
      <c r="N113" s="19"/>
      <c r="O113" s="19"/>
      <c r="P113" s="19"/>
      <c r="Q113" s="19"/>
      <c r="R113" s="31"/>
      <c r="S113" s="31"/>
      <c r="T113" s="31"/>
      <c r="U113" s="31"/>
      <c r="V113" s="31"/>
    </row>
    <row r="114" spans="1:24" ht="26.25" hidden="1" x14ac:dyDescent="0.4">
      <c r="A114" s="40" t="s">
        <v>37</v>
      </c>
      <c r="B114" s="50" t="s">
        <v>31</v>
      </c>
      <c r="C114" s="7"/>
      <c r="D114" s="7"/>
      <c r="E114" s="7"/>
      <c r="F114" s="7"/>
      <c r="G114" s="7"/>
      <c r="H114" s="7"/>
      <c r="I114" s="7"/>
      <c r="J114" s="60" t="s">
        <v>55</v>
      </c>
      <c r="K114" s="21"/>
      <c r="L114" s="21"/>
      <c r="M114" s="21"/>
      <c r="N114" s="21"/>
      <c r="O114" s="21"/>
      <c r="P114" s="21"/>
      <c r="Q114" s="21"/>
      <c r="R114" s="32"/>
      <c r="S114" s="32"/>
      <c r="T114" s="32"/>
      <c r="U114" s="32"/>
      <c r="V114" s="32"/>
    </row>
    <row r="115" spans="1:24" ht="26.25" hidden="1" x14ac:dyDescent="0.4">
      <c r="A115" s="20" t="s">
        <v>38</v>
      </c>
      <c r="B115" s="50" t="s">
        <v>31</v>
      </c>
      <c r="C115" s="7"/>
      <c r="D115" s="7"/>
      <c r="E115" s="7"/>
      <c r="F115" s="7"/>
      <c r="G115" s="7"/>
      <c r="H115" s="7"/>
      <c r="I115" s="7"/>
      <c r="J115" s="60" t="s">
        <v>56</v>
      </c>
      <c r="K115" s="21"/>
      <c r="L115" s="21"/>
      <c r="M115" s="21"/>
      <c r="N115" s="21"/>
      <c r="O115" s="21"/>
      <c r="P115" s="21"/>
      <c r="Q115" s="21"/>
      <c r="R115" s="32"/>
      <c r="S115" s="32"/>
      <c r="T115" s="32"/>
      <c r="U115" s="32"/>
      <c r="V115" s="32"/>
    </row>
    <row r="116" spans="1:24" ht="26.25" hidden="1" x14ac:dyDescent="0.4">
      <c r="A116" s="20" t="s">
        <v>39</v>
      </c>
      <c r="B116" s="50" t="s">
        <v>31</v>
      </c>
      <c r="C116" s="7"/>
      <c r="D116" s="7"/>
      <c r="E116" s="7"/>
      <c r="F116" s="7"/>
      <c r="G116" s="7"/>
      <c r="H116" s="7"/>
      <c r="I116" s="7"/>
      <c r="J116" s="60" t="s">
        <v>51</v>
      </c>
      <c r="K116" s="21"/>
      <c r="L116" s="21"/>
      <c r="M116" s="21"/>
      <c r="N116" s="21"/>
      <c r="O116" s="21"/>
      <c r="P116" s="21"/>
      <c r="Q116" s="21"/>
      <c r="R116" s="32"/>
      <c r="S116" s="32"/>
      <c r="T116" s="32"/>
      <c r="U116" s="32"/>
      <c r="V116" s="32"/>
    </row>
    <row r="117" spans="1:24" ht="26.25" hidden="1" x14ac:dyDescent="0.4">
      <c r="A117" s="20" t="s">
        <v>40</v>
      </c>
      <c r="B117" s="50" t="s">
        <v>31</v>
      </c>
      <c r="C117" s="7"/>
      <c r="D117" s="7"/>
      <c r="E117" s="7"/>
      <c r="F117" s="7"/>
      <c r="G117" s="7"/>
      <c r="H117" s="7"/>
      <c r="I117" s="7"/>
      <c r="J117" s="60" t="s">
        <v>53</v>
      </c>
      <c r="K117" s="21"/>
      <c r="L117" s="21"/>
      <c r="M117" s="21"/>
      <c r="N117" s="21"/>
      <c r="O117" s="21"/>
      <c r="P117" s="21"/>
      <c r="Q117" s="21"/>
      <c r="R117" s="32"/>
      <c r="S117" s="32"/>
      <c r="T117" s="32"/>
      <c r="U117" s="32"/>
      <c r="V117" s="32"/>
    </row>
    <row r="118" spans="1:24" ht="26.25" hidden="1" x14ac:dyDescent="0.4">
      <c r="A118" s="20" t="s">
        <v>41</v>
      </c>
      <c r="B118" s="50" t="s">
        <v>34</v>
      </c>
      <c r="C118" s="7"/>
      <c r="D118" s="7"/>
      <c r="E118" s="7"/>
      <c r="F118" s="7"/>
      <c r="G118" s="7"/>
      <c r="H118" s="7"/>
      <c r="I118" s="7"/>
      <c r="J118" s="60" t="s">
        <v>52</v>
      </c>
      <c r="K118" s="21"/>
      <c r="L118" s="21"/>
      <c r="M118" s="21"/>
      <c r="N118" s="21"/>
      <c r="O118" s="21"/>
      <c r="P118" s="21"/>
      <c r="Q118" s="21"/>
      <c r="R118" s="32"/>
      <c r="S118" s="32"/>
      <c r="T118" s="32"/>
      <c r="U118" s="32"/>
      <c r="V118" s="32"/>
    </row>
    <row r="119" spans="1:24" ht="27.75" hidden="1" x14ac:dyDescent="0.4">
      <c r="A119" s="34" t="s">
        <v>32</v>
      </c>
      <c r="B119" s="53" t="s">
        <v>57</v>
      </c>
      <c r="C119" s="16"/>
      <c r="D119" s="16"/>
      <c r="E119" s="16"/>
      <c r="F119" s="16"/>
      <c r="G119" s="16" t="s">
        <v>57</v>
      </c>
      <c r="H119" s="16"/>
      <c r="I119" s="16"/>
      <c r="J119" s="62" t="s">
        <v>57</v>
      </c>
      <c r="K119" s="17"/>
      <c r="L119" s="17"/>
      <c r="M119" s="17"/>
      <c r="N119" s="17"/>
      <c r="O119" s="17"/>
      <c r="P119" s="17"/>
      <c r="Q119" s="17"/>
      <c r="R119" s="17"/>
      <c r="S119" s="17"/>
      <c r="T119" s="17"/>
      <c r="U119" s="17"/>
      <c r="V119" s="17"/>
    </row>
    <row r="120" spans="1:24" ht="27.75" x14ac:dyDescent="0.4">
      <c r="A120" s="36"/>
      <c r="B120" s="54"/>
      <c r="C120" s="25"/>
      <c r="D120" s="25"/>
      <c r="E120" s="25"/>
      <c r="F120" s="25"/>
      <c r="G120" s="25"/>
      <c r="H120" s="25"/>
      <c r="I120" s="25"/>
      <c r="J120" s="63"/>
      <c r="K120" s="26"/>
      <c r="L120" s="26"/>
      <c r="M120" s="26"/>
      <c r="N120" s="26"/>
      <c r="O120" s="26"/>
      <c r="P120" s="26"/>
      <c r="Q120" s="26"/>
      <c r="R120" s="26"/>
      <c r="S120" s="26"/>
      <c r="T120" s="26"/>
      <c r="U120" s="26"/>
      <c r="V120" s="26"/>
    </row>
    <row r="121" spans="1:24" ht="26.25" x14ac:dyDescent="0.4">
      <c r="A121" s="327" t="s">
        <v>59</v>
      </c>
      <c r="B121" s="328"/>
      <c r="C121" s="328"/>
      <c r="D121" s="328"/>
      <c r="E121" s="328"/>
      <c r="F121" s="328"/>
      <c r="G121" s="328"/>
      <c r="H121" s="328"/>
      <c r="I121" s="328"/>
      <c r="J121" s="328"/>
      <c r="K121" s="26"/>
      <c r="L121" s="26"/>
      <c r="M121" s="26"/>
      <c r="N121" s="26"/>
      <c r="O121" s="26"/>
      <c r="P121" s="26"/>
      <c r="Q121" s="26"/>
      <c r="R121" s="26"/>
      <c r="S121" s="26"/>
      <c r="T121" s="26"/>
      <c r="U121" s="26"/>
      <c r="V121" s="26"/>
    </row>
    <row r="122" spans="1:24" ht="26.25" x14ac:dyDescent="0.4">
      <c r="A122" s="37" t="s">
        <v>265</v>
      </c>
      <c r="B122" s="55"/>
      <c r="C122" s="38"/>
      <c r="D122" s="38"/>
      <c r="E122" s="38"/>
      <c r="F122" s="38"/>
      <c r="G122" s="38"/>
      <c r="H122" s="38"/>
      <c r="I122" s="38"/>
      <c r="J122" s="64"/>
      <c r="K122" s="39"/>
      <c r="L122" s="39"/>
      <c r="M122" s="39"/>
      <c r="N122" s="39"/>
      <c r="O122" s="39"/>
      <c r="P122" s="39"/>
      <c r="Q122" s="39"/>
      <c r="R122" s="39"/>
      <c r="S122" s="39"/>
      <c r="T122" s="39"/>
      <c r="U122" s="39"/>
      <c r="V122" s="39"/>
    </row>
    <row r="123" spans="1:24" ht="57.75" customHeight="1" x14ac:dyDescent="0.2">
      <c r="A123" s="329" t="s">
        <v>61</v>
      </c>
      <c r="B123" s="329"/>
      <c r="C123" s="329"/>
      <c r="D123" s="329"/>
      <c r="E123" s="329"/>
      <c r="F123" s="329"/>
      <c r="G123" s="329"/>
      <c r="H123" s="329"/>
      <c r="I123" s="329"/>
      <c r="J123" s="329"/>
      <c r="K123" s="329"/>
      <c r="L123" s="329"/>
      <c r="M123" s="329"/>
      <c r="N123" s="329"/>
      <c r="O123" s="329"/>
      <c r="P123" s="329"/>
      <c r="Q123" s="329"/>
      <c r="R123" s="329"/>
      <c r="S123" s="329"/>
      <c r="T123" s="329"/>
      <c r="U123" s="329"/>
      <c r="V123" s="141"/>
    </row>
    <row r="124" spans="1:24" ht="20.25" x14ac:dyDescent="0.3">
      <c r="A124" s="27"/>
      <c r="B124" s="56"/>
      <c r="C124" s="22"/>
      <c r="D124" s="22"/>
      <c r="E124" s="22"/>
      <c r="F124" s="22"/>
      <c r="G124" s="22"/>
      <c r="H124" s="22"/>
      <c r="I124" s="22"/>
      <c r="J124" s="65"/>
      <c r="K124" s="23"/>
      <c r="L124" s="23"/>
      <c r="M124" s="23"/>
      <c r="N124" s="23"/>
      <c r="O124" s="23"/>
      <c r="P124" s="23"/>
      <c r="Q124" s="23"/>
      <c r="R124" s="23"/>
      <c r="S124" s="23"/>
      <c r="T124" s="23"/>
      <c r="U124" s="23"/>
      <c r="V124" s="23"/>
    </row>
    <row r="125" spans="1:24" ht="20.25" x14ac:dyDescent="0.3">
      <c r="A125" s="22"/>
      <c r="B125" s="56"/>
      <c r="C125" s="22"/>
      <c r="D125" s="22"/>
      <c r="E125" s="22"/>
      <c r="F125" s="22"/>
      <c r="G125" s="22"/>
      <c r="H125" s="22"/>
      <c r="I125" s="22"/>
      <c r="J125" s="65"/>
      <c r="K125" s="23"/>
      <c r="L125" s="23"/>
      <c r="M125" s="23"/>
      <c r="N125" s="23"/>
      <c r="O125" s="23"/>
      <c r="P125" s="23"/>
      <c r="Q125" s="23"/>
      <c r="R125" s="23"/>
      <c r="S125" s="23"/>
      <c r="T125" s="23"/>
      <c r="U125" s="23"/>
      <c r="V125" s="23"/>
    </row>
    <row r="126" spans="1:24" ht="20.25" x14ac:dyDescent="0.3">
      <c r="A126" s="22"/>
      <c r="B126" s="56"/>
      <c r="C126" s="22"/>
      <c r="D126" s="22"/>
      <c r="E126" s="22"/>
      <c r="F126" s="22"/>
      <c r="G126" s="22"/>
      <c r="H126" s="22"/>
      <c r="I126" s="22"/>
      <c r="J126" s="65"/>
      <c r="K126" s="23"/>
      <c r="L126" s="23"/>
      <c r="M126" s="23"/>
      <c r="N126" s="23"/>
      <c r="O126" s="23"/>
      <c r="P126" s="23"/>
      <c r="Q126" s="221"/>
      <c r="R126" s="221"/>
      <c r="S126" s="221"/>
      <c r="T126" s="222"/>
      <c r="U126" s="222"/>
      <c r="V126" s="222"/>
      <c r="X126" s="223"/>
    </row>
    <row r="127" spans="1:24" ht="20.25" x14ac:dyDescent="0.3">
      <c r="A127" s="22"/>
      <c r="B127" s="56"/>
      <c r="C127" s="22"/>
      <c r="D127" s="22"/>
      <c r="E127" s="22"/>
      <c r="F127" s="22"/>
      <c r="G127" s="22"/>
      <c r="H127" s="22"/>
      <c r="I127" s="22"/>
      <c r="J127" s="65"/>
      <c r="K127" s="23"/>
      <c r="L127" s="23"/>
      <c r="M127" s="23"/>
      <c r="N127" s="23"/>
      <c r="O127" s="23"/>
      <c r="P127" s="23"/>
      <c r="Q127" s="224"/>
      <c r="R127" s="224"/>
      <c r="S127" s="224"/>
      <c r="T127" s="224"/>
      <c r="U127" s="224"/>
      <c r="V127" s="225"/>
      <c r="X127" s="223"/>
    </row>
    <row r="128" spans="1:24" ht="20.25" x14ac:dyDescent="0.3">
      <c r="A128" s="22"/>
      <c r="B128" s="56"/>
      <c r="C128" s="22"/>
      <c r="D128" s="22"/>
      <c r="E128" s="22"/>
      <c r="F128" s="22"/>
      <c r="G128" s="22"/>
      <c r="H128" s="22"/>
      <c r="I128" s="22"/>
      <c r="J128" s="65"/>
      <c r="K128" s="23"/>
      <c r="L128" s="23"/>
      <c r="M128" s="23"/>
      <c r="N128" s="23"/>
      <c r="O128" s="23"/>
      <c r="P128" s="23"/>
      <c r="Q128" s="224"/>
      <c r="R128" s="224"/>
      <c r="S128" s="224"/>
      <c r="T128" s="224"/>
      <c r="U128" s="224"/>
      <c r="V128" s="224"/>
      <c r="X128" s="223"/>
    </row>
    <row r="129" spans="1:24" ht="20.25" x14ac:dyDescent="0.3">
      <c r="A129" s="22"/>
      <c r="B129" s="56"/>
      <c r="C129" s="22"/>
      <c r="D129" s="22"/>
      <c r="E129" s="22"/>
      <c r="F129" s="22"/>
      <c r="G129" s="22"/>
      <c r="H129" s="22"/>
      <c r="I129" s="22"/>
      <c r="J129" s="65"/>
      <c r="K129" s="23"/>
      <c r="L129" s="23"/>
      <c r="M129" s="23"/>
      <c r="N129" s="23"/>
      <c r="O129" s="23"/>
      <c r="P129" s="23"/>
      <c r="Q129" s="221"/>
      <c r="R129" s="221"/>
      <c r="S129" s="221"/>
      <c r="T129" s="222"/>
      <c r="U129" s="222"/>
      <c r="V129" s="222"/>
      <c r="X129" s="223"/>
    </row>
    <row r="130" spans="1:24" ht="20.25" x14ac:dyDescent="0.3">
      <c r="A130" s="22"/>
      <c r="B130" s="56"/>
      <c r="C130" s="22"/>
      <c r="D130" s="22"/>
      <c r="E130" s="22"/>
      <c r="F130" s="22"/>
      <c r="G130" s="22"/>
      <c r="H130" s="22"/>
      <c r="I130" s="22"/>
      <c r="J130" s="65"/>
      <c r="K130" s="23"/>
      <c r="L130" s="23"/>
      <c r="M130" s="23"/>
      <c r="N130" s="23"/>
      <c r="O130" s="23"/>
      <c r="P130" s="23"/>
      <c r="Q130" s="224"/>
      <c r="R130" s="224"/>
      <c r="S130" s="224"/>
      <c r="T130" s="225"/>
      <c r="U130" s="225"/>
      <c r="V130" s="225"/>
      <c r="X130" s="223"/>
    </row>
    <row r="131" spans="1:24" ht="20.25" x14ac:dyDescent="0.3">
      <c r="A131" s="22"/>
      <c r="B131" s="56"/>
      <c r="C131" s="22"/>
      <c r="D131" s="22"/>
      <c r="E131" s="22"/>
      <c r="F131" s="22"/>
      <c r="G131" s="22"/>
      <c r="H131" s="22"/>
      <c r="I131" s="22"/>
      <c r="J131" s="65"/>
      <c r="K131" s="23"/>
      <c r="L131" s="23"/>
      <c r="M131" s="23"/>
      <c r="N131" s="23"/>
      <c r="O131" s="23"/>
      <c r="P131" s="23"/>
      <c r="Q131" s="224"/>
      <c r="R131" s="224"/>
      <c r="S131" s="224"/>
      <c r="T131" s="224"/>
      <c r="U131" s="224"/>
      <c r="V131" s="224"/>
      <c r="X131" s="223"/>
    </row>
    <row r="132" spans="1:24" ht="18" x14ac:dyDescent="0.25">
      <c r="A132" s="24"/>
      <c r="B132" s="57"/>
      <c r="C132" s="24"/>
      <c r="D132" s="24"/>
      <c r="E132" s="24"/>
      <c r="F132" s="24"/>
      <c r="G132" s="24"/>
      <c r="H132" s="24"/>
      <c r="I132" s="24"/>
      <c r="J132" s="66"/>
      <c r="Q132" s="221"/>
      <c r="R132" s="221"/>
      <c r="S132" s="221"/>
      <c r="T132" s="222"/>
      <c r="U132" s="222"/>
      <c r="V132" s="222"/>
      <c r="X132" s="223"/>
    </row>
    <row r="133" spans="1:24" ht="18" x14ac:dyDescent="0.25">
      <c r="A133" s="24"/>
      <c r="B133" s="57"/>
      <c r="C133" s="24"/>
      <c r="D133" s="24"/>
      <c r="E133" s="24"/>
      <c r="F133" s="24"/>
      <c r="G133" s="24"/>
      <c r="H133" s="24"/>
      <c r="I133" s="24"/>
      <c r="J133" s="66"/>
      <c r="Q133" s="224"/>
      <c r="R133" s="224"/>
      <c r="S133" s="224"/>
      <c r="T133" s="225"/>
      <c r="U133" s="225"/>
      <c r="V133" s="225"/>
      <c r="X133" s="223"/>
    </row>
    <row r="134" spans="1:24" x14ac:dyDescent="0.2">
      <c r="A134" s="24"/>
      <c r="B134" s="57"/>
      <c r="C134" s="24"/>
      <c r="D134" s="24"/>
      <c r="E134" s="24"/>
      <c r="F134" s="24"/>
      <c r="G134" s="24"/>
      <c r="H134" s="24"/>
      <c r="I134" s="24"/>
      <c r="J134" s="66"/>
    </row>
    <row r="135" spans="1:24" x14ac:dyDescent="0.2">
      <c r="A135" s="24"/>
      <c r="B135" s="57"/>
      <c r="C135" s="24"/>
      <c r="D135" s="24"/>
      <c r="E135" s="24"/>
      <c r="F135" s="24"/>
      <c r="G135" s="24"/>
      <c r="H135" s="24"/>
      <c r="I135" s="24"/>
      <c r="J135" s="66"/>
    </row>
    <row r="136" spans="1:24" x14ac:dyDescent="0.2">
      <c r="A136" s="24"/>
      <c r="B136" s="57"/>
      <c r="C136" s="24"/>
      <c r="D136" s="24"/>
      <c r="E136" s="24"/>
      <c r="F136" s="24"/>
      <c r="G136" s="24"/>
      <c r="H136" s="24"/>
      <c r="I136" s="24"/>
      <c r="J136" s="66"/>
    </row>
    <row r="137" spans="1:24" x14ac:dyDescent="0.2">
      <c r="A137" s="24"/>
      <c r="B137" s="57"/>
      <c r="C137" s="24"/>
      <c r="D137" s="24"/>
      <c r="E137" s="24"/>
      <c r="F137" s="24"/>
      <c r="G137" s="24"/>
      <c r="H137" s="24"/>
      <c r="I137" s="24"/>
      <c r="J137" s="66"/>
    </row>
    <row r="138" spans="1:24" x14ac:dyDescent="0.2">
      <c r="A138" s="24"/>
      <c r="B138" s="57"/>
      <c r="C138" s="24"/>
      <c r="D138" s="24"/>
      <c r="E138" s="24"/>
      <c r="F138" s="24"/>
      <c r="G138" s="24"/>
      <c r="H138" s="24"/>
      <c r="I138" s="24"/>
      <c r="J138" s="66"/>
    </row>
    <row r="145" spans="2:10" x14ac:dyDescent="0.2">
      <c r="B145"/>
      <c r="J145"/>
    </row>
    <row r="146" spans="2:10" x14ac:dyDescent="0.2">
      <c r="B146"/>
      <c r="J146"/>
    </row>
    <row r="147" spans="2:10" x14ac:dyDescent="0.2">
      <c r="B147"/>
      <c r="J147"/>
    </row>
    <row r="148" spans="2:10" x14ac:dyDescent="0.2">
      <c r="B148"/>
      <c r="J148"/>
    </row>
    <row r="149" spans="2:10" x14ac:dyDescent="0.2">
      <c r="B149"/>
      <c r="J149"/>
    </row>
    <row r="150" spans="2:10" x14ac:dyDescent="0.2">
      <c r="B150"/>
      <c r="J150"/>
    </row>
    <row r="151" spans="2:10" x14ac:dyDescent="0.2">
      <c r="B151"/>
      <c r="J151"/>
    </row>
    <row r="152" spans="2:10" x14ac:dyDescent="0.2">
      <c r="B152"/>
      <c r="J152"/>
    </row>
    <row r="153" spans="2:10" x14ac:dyDescent="0.2">
      <c r="B153"/>
      <c r="J153"/>
    </row>
    <row r="154" spans="2:10" x14ac:dyDescent="0.2">
      <c r="B154"/>
      <c r="J154"/>
    </row>
    <row r="155" spans="2:10" x14ac:dyDescent="0.2">
      <c r="B155"/>
      <c r="J155"/>
    </row>
    <row r="156" spans="2:10" x14ac:dyDescent="0.2">
      <c r="B156"/>
      <c r="J156"/>
    </row>
    <row r="157" spans="2:10" x14ac:dyDescent="0.2">
      <c r="B157"/>
      <c r="J157"/>
    </row>
    <row r="158" spans="2:10" x14ac:dyDescent="0.2">
      <c r="B158"/>
      <c r="J158"/>
    </row>
    <row r="159" spans="2:10" x14ac:dyDescent="0.2">
      <c r="B159"/>
      <c r="J159"/>
    </row>
    <row r="160" spans="2:10" x14ac:dyDescent="0.2">
      <c r="B160"/>
      <c r="J160"/>
    </row>
    <row r="161" spans="2:10" x14ac:dyDescent="0.2">
      <c r="B161"/>
      <c r="J161"/>
    </row>
    <row r="162" spans="2:10" x14ac:dyDescent="0.2">
      <c r="B162"/>
      <c r="J162"/>
    </row>
    <row r="163" spans="2:10" x14ac:dyDescent="0.2">
      <c r="B163"/>
      <c r="J163"/>
    </row>
    <row r="164" spans="2:10" x14ac:dyDescent="0.2">
      <c r="B164"/>
      <c r="J164"/>
    </row>
    <row r="165" spans="2:10" x14ac:dyDescent="0.2">
      <c r="B165"/>
      <c r="J165"/>
    </row>
    <row r="166" spans="2:10" x14ac:dyDescent="0.2">
      <c r="B166"/>
      <c r="J166"/>
    </row>
    <row r="167" spans="2:10" x14ac:dyDescent="0.2">
      <c r="B167"/>
      <c r="J167"/>
    </row>
    <row r="168" spans="2:10" x14ac:dyDescent="0.2">
      <c r="B168"/>
      <c r="J168"/>
    </row>
    <row r="169" spans="2:10" x14ac:dyDescent="0.2">
      <c r="B169"/>
      <c r="J169"/>
    </row>
    <row r="170" spans="2:10" x14ac:dyDescent="0.2">
      <c r="B170"/>
      <c r="J170"/>
    </row>
    <row r="171" spans="2:10" x14ac:dyDescent="0.2">
      <c r="B171"/>
      <c r="J171"/>
    </row>
    <row r="172" spans="2:10" x14ac:dyDescent="0.2">
      <c r="B172"/>
      <c r="J172"/>
    </row>
    <row r="173" spans="2:10" x14ac:dyDescent="0.2">
      <c r="B173"/>
      <c r="J173"/>
    </row>
    <row r="174" spans="2:10" x14ac:dyDescent="0.2">
      <c r="B174"/>
      <c r="J174"/>
    </row>
    <row r="175" spans="2:10" x14ac:dyDescent="0.2">
      <c r="B175"/>
      <c r="J175"/>
    </row>
    <row r="176" spans="2:10" x14ac:dyDescent="0.2">
      <c r="B176"/>
      <c r="J176"/>
    </row>
    <row r="177" spans="2:10" x14ac:dyDescent="0.2">
      <c r="B177"/>
      <c r="J177"/>
    </row>
    <row r="178" spans="2:10" x14ac:dyDescent="0.2">
      <c r="B178"/>
      <c r="J178"/>
    </row>
    <row r="179" spans="2:10" x14ac:dyDescent="0.2">
      <c r="B179"/>
      <c r="J179"/>
    </row>
    <row r="180" spans="2:10" x14ac:dyDescent="0.2">
      <c r="B180"/>
      <c r="J180"/>
    </row>
    <row r="181" spans="2:10" x14ac:dyDescent="0.2">
      <c r="B181"/>
      <c r="J181"/>
    </row>
    <row r="182" spans="2:10" x14ac:dyDescent="0.2">
      <c r="B182"/>
      <c r="J182"/>
    </row>
    <row r="183" spans="2:10" x14ac:dyDescent="0.2">
      <c r="B183"/>
      <c r="J183"/>
    </row>
    <row r="184" spans="2:10" x14ac:dyDescent="0.2">
      <c r="B184"/>
      <c r="J184"/>
    </row>
    <row r="185" spans="2:10" x14ac:dyDescent="0.2">
      <c r="B185"/>
      <c r="J185"/>
    </row>
    <row r="186" spans="2:10" x14ac:dyDescent="0.2">
      <c r="B186"/>
      <c r="J186"/>
    </row>
    <row r="187" spans="2:10" x14ac:dyDescent="0.2">
      <c r="B187"/>
      <c r="J187"/>
    </row>
    <row r="188" spans="2:10" x14ac:dyDescent="0.2">
      <c r="B188"/>
      <c r="J188"/>
    </row>
    <row r="189" spans="2:10" x14ac:dyDescent="0.2">
      <c r="B189"/>
      <c r="J189"/>
    </row>
    <row r="190" spans="2:10" x14ac:dyDescent="0.2">
      <c r="B190"/>
      <c r="J190"/>
    </row>
    <row r="191" spans="2:10" x14ac:dyDescent="0.2">
      <c r="B191"/>
      <c r="J191"/>
    </row>
    <row r="192" spans="2:10" x14ac:dyDescent="0.2">
      <c r="B192"/>
      <c r="J192"/>
    </row>
    <row r="193" spans="2:10" x14ac:dyDescent="0.2">
      <c r="B193"/>
      <c r="J193"/>
    </row>
    <row r="194" spans="2:10" x14ac:dyDescent="0.2">
      <c r="B194"/>
      <c r="J194"/>
    </row>
    <row r="195" spans="2:10" x14ac:dyDescent="0.2">
      <c r="B195"/>
      <c r="J195"/>
    </row>
    <row r="196" spans="2:10" x14ac:dyDescent="0.2">
      <c r="B196"/>
      <c r="J196"/>
    </row>
    <row r="197" spans="2:10" x14ac:dyDescent="0.2">
      <c r="B197"/>
      <c r="J197"/>
    </row>
    <row r="198" spans="2:10" x14ac:dyDescent="0.2">
      <c r="B198"/>
      <c r="J198"/>
    </row>
    <row r="199" spans="2:10" x14ac:dyDescent="0.2">
      <c r="B199"/>
      <c r="J199"/>
    </row>
    <row r="200" spans="2:10" x14ac:dyDescent="0.2">
      <c r="B200"/>
      <c r="J200"/>
    </row>
    <row r="201" spans="2:10" x14ac:dyDescent="0.2">
      <c r="B201"/>
      <c r="J201"/>
    </row>
    <row r="202" spans="2:10" x14ac:dyDescent="0.2">
      <c r="B202"/>
      <c r="J202"/>
    </row>
    <row r="203" spans="2:10" x14ac:dyDescent="0.2">
      <c r="B203"/>
      <c r="J203"/>
    </row>
    <row r="204" spans="2:10" x14ac:dyDescent="0.2">
      <c r="B204"/>
      <c r="J204"/>
    </row>
    <row r="205" spans="2:10" x14ac:dyDescent="0.2">
      <c r="B205"/>
      <c r="J205"/>
    </row>
    <row r="206" spans="2:10" x14ac:dyDescent="0.2">
      <c r="B206"/>
      <c r="J206"/>
    </row>
    <row r="207" spans="2:10" x14ac:dyDescent="0.2">
      <c r="B207"/>
      <c r="J207"/>
    </row>
    <row r="208" spans="2:10" x14ac:dyDescent="0.2">
      <c r="B208"/>
      <c r="J208"/>
    </row>
    <row r="209" spans="2:10" x14ac:dyDescent="0.2">
      <c r="B209"/>
      <c r="J209"/>
    </row>
    <row r="210" spans="2:10" x14ac:dyDescent="0.2">
      <c r="B210"/>
      <c r="J210"/>
    </row>
    <row r="211" spans="2:10" x14ac:dyDescent="0.2">
      <c r="B211"/>
      <c r="J211"/>
    </row>
    <row r="212" spans="2:10" x14ac:dyDescent="0.2">
      <c r="B212"/>
      <c r="J212"/>
    </row>
    <row r="213" spans="2:10" x14ac:dyDescent="0.2">
      <c r="B213"/>
      <c r="J213"/>
    </row>
    <row r="214" spans="2:10" x14ac:dyDescent="0.2">
      <c r="B214"/>
      <c r="J214"/>
    </row>
    <row r="215" spans="2:10" x14ac:dyDescent="0.2">
      <c r="B215"/>
      <c r="J215"/>
    </row>
    <row r="216" spans="2:10" x14ac:dyDescent="0.2">
      <c r="B216"/>
      <c r="J216"/>
    </row>
    <row r="217" spans="2:10" x14ac:dyDescent="0.2">
      <c r="B217"/>
      <c r="J217"/>
    </row>
    <row r="218" spans="2:10" x14ac:dyDescent="0.2">
      <c r="B218"/>
      <c r="J218"/>
    </row>
    <row r="219" spans="2:10" x14ac:dyDescent="0.2">
      <c r="B219"/>
      <c r="J219"/>
    </row>
    <row r="220" spans="2:10" x14ac:dyDescent="0.2">
      <c r="B220"/>
      <c r="J220"/>
    </row>
    <row r="221" spans="2:10" x14ac:dyDescent="0.2">
      <c r="B221"/>
      <c r="J221"/>
    </row>
    <row r="222" spans="2:10" x14ac:dyDescent="0.2">
      <c r="B222"/>
      <c r="J222"/>
    </row>
    <row r="223" spans="2:10" x14ac:dyDescent="0.2">
      <c r="B223"/>
      <c r="J223"/>
    </row>
    <row r="224" spans="2:10" x14ac:dyDescent="0.2">
      <c r="B224"/>
      <c r="J224"/>
    </row>
    <row r="225" spans="2:10" x14ac:dyDescent="0.2">
      <c r="B225"/>
      <c r="J225"/>
    </row>
    <row r="226" spans="2:10" x14ac:dyDescent="0.2">
      <c r="B226"/>
      <c r="J226"/>
    </row>
    <row r="227" spans="2:10" x14ac:dyDescent="0.2">
      <c r="B227"/>
      <c r="J227"/>
    </row>
    <row r="228" spans="2:10" x14ac:dyDescent="0.2">
      <c r="B228"/>
      <c r="J228"/>
    </row>
    <row r="229" spans="2:10" x14ac:dyDescent="0.2">
      <c r="B229"/>
      <c r="J229"/>
    </row>
    <row r="230" spans="2:10" x14ac:dyDescent="0.2">
      <c r="B230"/>
      <c r="J230"/>
    </row>
    <row r="231" spans="2:10" x14ac:dyDescent="0.2">
      <c r="B231"/>
      <c r="J231"/>
    </row>
    <row r="232" spans="2:10" x14ac:dyDescent="0.2">
      <c r="B232"/>
      <c r="J232"/>
    </row>
    <row r="233" spans="2:10" x14ac:dyDescent="0.2">
      <c r="B233"/>
      <c r="J233"/>
    </row>
    <row r="234" spans="2:10" x14ac:dyDescent="0.2">
      <c r="B234"/>
      <c r="J234"/>
    </row>
    <row r="235" spans="2:10" x14ac:dyDescent="0.2">
      <c r="B235"/>
      <c r="J235"/>
    </row>
    <row r="236" spans="2:10" x14ac:dyDescent="0.2">
      <c r="B236"/>
      <c r="J236"/>
    </row>
    <row r="237" spans="2:10" x14ac:dyDescent="0.2">
      <c r="B237"/>
      <c r="J237"/>
    </row>
    <row r="238" spans="2:10" x14ac:dyDescent="0.2">
      <c r="B238"/>
      <c r="J238"/>
    </row>
    <row r="239" spans="2:10" x14ac:dyDescent="0.2">
      <c r="B239"/>
      <c r="J239"/>
    </row>
    <row r="240" spans="2:10" x14ac:dyDescent="0.2">
      <c r="B240"/>
      <c r="J240"/>
    </row>
    <row r="241" spans="2:10" x14ac:dyDescent="0.2">
      <c r="B241"/>
      <c r="J241"/>
    </row>
    <row r="242" spans="2:10" x14ac:dyDescent="0.2">
      <c r="B242"/>
      <c r="J242"/>
    </row>
    <row r="243" spans="2:10" x14ac:dyDescent="0.2">
      <c r="B243"/>
      <c r="J243"/>
    </row>
    <row r="244" spans="2:10" x14ac:dyDescent="0.2">
      <c r="B244"/>
      <c r="J244"/>
    </row>
    <row r="245" spans="2:10" x14ac:dyDescent="0.2">
      <c r="B245"/>
      <c r="J245"/>
    </row>
    <row r="246" spans="2:10" x14ac:dyDescent="0.2">
      <c r="B246"/>
      <c r="J246"/>
    </row>
    <row r="247" spans="2:10" x14ac:dyDescent="0.2">
      <c r="B247"/>
      <c r="J247"/>
    </row>
    <row r="248" spans="2:10" x14ac:dyDescent="0.2">
      <c r="B248"/>
      <c r="J248"/>
    </row>
    <row r="249" spans="2:10" x14ac:dyDescent="0.2">
      <c r="B249"/>
      <c r="J249"/>
    </row>
    <row r="250" spans="2:10" x14ac:dyDescent="0.2">
      <c r="B250"/>
      <c r="J250"/>
    </row>
    <row r="251" spans="2:10" x14ac:dyDescent="0.2">
      <c r="B251"/>
      <c r="J251"/>
    </row>
    <row r="252" spans="2:10" x14ac:dyDescent="0.2">
      <c r="B252"/>
      <c r="J252"/>
    </row>
    <row r="253" spans="2:10" x14ac:dyDescent="0.2">
      <c r="B253"/>
      <c r="J253"/>
    </row>
    <row r="254" spans="2:10" x14ac:dyDescent="0.2">
      <c r="B254"/>
      <c r="J254"/>
    </row>
    <row r="255" spans="2:10" x14ac:dyDescent="0.2">
      <c r="B255"/>
      <c r="J255"/>
    </row>
    <row r="256" spans="2:10" x14ac:dyDescent="0.2">
      <c r="B256"/>
      <c r="J256"/>
    </row>
    <row r="257" spans="2:10" x14ac:dyDescent="0.2">
      <c r="B257"/>
      <c r="J257"/>
    </row>
    <row r="258" spans="2:10" x14ac:dyDescent="0.2">
      <c r="B258"/>
      <c r="J258"/>
    </row>
    <row r="259" spans="2:10" x14ac:dyDescent="0.2">
      <c r="B259"/>
      <c r="J259"/>
    </row>
    <row r="260" spans="2:10" x14ac:dyDescent="0.2">
      <c r="B260"/>
      <c r="J260"/>
    </row>
    <row r="261" spans="2:10" x14ac:dyDescent="0.2">
      <c r="B261"/>
      <c r="J261"/>
    </row>
    <row r="262" spans="2:10" x14ac:dyDescent="0.2">
      <c r="B262"/>
      <c r="J262"/>
    </row>
    <row r="263" spans="2:10" x14ac:dyDescent="0.2">
      <c r="B263"/>
      <c r="J263"/>
    </row>
    <row r="264" spans="2:10" x14ac:dyDescent="0.2">
      <c r="B264"/>
      <c r="J264"/>
    </row>
    <row r="265" spans="2:10" x14ac:dyDescent="0.2">
      <c r="B265"/>
      <c r="J265"/>
    </row>
    <row r="266" spans="2:10" x14ac:dyDescent="0.2">
      <c r="B266"/>
      <c r="J266"/>
    </row>
    <row r="267" spans="2:10" x14ac:dyDescent="0.2">
      <c r="B267"/>
      <c r="J267"/>
    </row>
    <row r="268" spans="2:10" x14ac:dyDescent="0.2">
      <c r="B268"/>
      <c r="J268"/>
    </row>
    <row r="269" spans="2:10" x14ac:dyDescent="0.2">
      <c r="B269"/>
      <c r="J269"/>
    </row>
    <row r="270" spans="2:10" x14ac:dyDescent="0.2">
      <c r="B270"/>
      <c r="J270"/>
    </row>
    <row r="271" spans="2:10" x14ac:dyDescent="0.2">
      <c r="B271"/>
      <c r="J271"/>
    </row>
    <row r="272" spans="2:10" x14ac:dyDescent="0.2">
      <c r="B272"/>
      <c r="J272"/>
    </row>
    <row r="273" spans="2:10" x14ac:dyDescent="0.2">
      <c r="B273"/>
      <c r="J273"/>
    </row>
    <row r="274" spans="2:10" x14ac:dyDescent="0.2">
      <c r="B274"/>
      <c r="J274"/>
    </row>
    <row r="275" spans="2:10" x14ac:dyDescent="0.2">
      <c r="B275"/>
      <c r="J275"/>
    </row>
    <row r="276" spans="2:10" x14ac:dyDescent="0.2">
      <c r="B276"/>
      <c r="J276"/>
    </row>
    <row r="277" spans="2:10" x14ac:dyDescent="0.2">
      <c r="B277"/>
      <c r="J277"/>
    </row>
    <row r="278" spans="2:10" x14ac:dyDescent="0.2">
      <c r="B278"/>
      <c r="J278"/>
    </row>
    <row r="279" spans="2:10" x14ac:dyDescent="0.2">
      <c r="B279"/>
      <c r="J279"/>
    </row>
    <row r="280" spans="2:10" x14ac:dyDescent="0.2">
      <c r="B280"/>
      <c r="J280"/>
    </row>
    <row r="281" spans="2:10" x14ac:dyDescent="0.2">
      <c r="B281"/>
      <c r="J281"/>
    </row>
    <row r="282" spans="2:10" x14ac:dyDescent="0.2">
      <c r="B282"/>
      <c r="J282"/>
    </row>
    <row r="283" spans="2:10" x14ac:dyDescent="0.2">
      <c r="B283"/>
      <c r="J283"/>
    </row>
    <row r="284" spans="2:10" x14ac:dyDescent="0.2">
      <c r="B284"/>
      <c r="J284"/>
    </row>
    <row r="285" spans="2:10" x14ac:dyDescent="0.2">
      <c r="B285"/>
      <c r="J285"/>
    </row>
    <row r="286" spans="2:10" x14ac:dyDescent="0.2">
      <c r="B286"/>
      <c r="J286"/>
    </row>
    <row r="287" spans="2:10" x14ac:dyDescent="0.2">
      <c r="B287"/>
      <c r="J287"/>
    </row>
    <row r="288" spans="2:10" x14ac:dyDescent="0.2">
      <c r="B288"/>
      <c r="J288"/>
    </row>
    <row r="289" spans="2:10" x14ac:dyDescent="0.2">
      <c r="B289"/>
      <c r="J289"/>
    </row>
    <row r="290" spans="2:10" x14ac:dyDescent="0.2">
      <c r="B290"/>
      <c r="J290"/>
    </row>
    <row r="291" spans="2:10" x14ac:dyDescent="0.2">
      <c r="B291"/>
      <c r="J291"/>
    </row>
    <row r="292" spans="2:10" x14ac:dyDescent="0.2">
      <c r="B292"/>
      <c r="J292"/>
    </row>
    <row r="293" spans="2:10" x14ac:dyDescent="0.2">
      <c r="B293"/>
      <c r="J293"/>
    </row>
    <row r="294" spans="2:10" x14ac:dyDescent="0.2">
      <c r="B294"/>
      <c r="J294"/>
    </row>
    <row r="295" spans="2:10" x14ac:dyDescent="0.2">
      <c r="B295"/>
      <c r="J295"/>
    </row>
    <row r="296" spans="2:10" x14ac:dyDescent="0.2">
      <c r="B296"/>
      <c r="J296"/>
    </row>
    <row r="297" spans="2:10" x14ac:dyDescent="0.2">
      <c r="B297"/>
      <c r="J297"/>
    </row>
    <row r="298" spans="2:10" x14ac:dyDescent="0.2">
      <c r="B298"/>
      <c r="J298"/>
    </row>
    <row r="299" spans="2:10" x14ac:dyDescent="0.2">
      <c r="B299"/>
      <c r="J299"/>
    </row>
    <row r="300" spans="2:10" x14ac:dyDescent="0.2">
      <c r="B300"/>
      <c r="J300"/>
    </row>
    <row r="301" spans="2:10" x14ac:dyDescent="0.2">
      <c r="B301"/>
      <c r="J301"/>
    </row>
    <row r="302" spans="2:10" x14ac:dyDescent="0.2">
      <c r="B302"/>
      <c r="J302"/>
    </row>
    <row r="303" spans="2:10" x14ac:dyDescent="0.2">
      <c r="B303"/>
      <c r="J303"/>
    </row>
    <row r="304" spans="2:10" x14ac:dyDescent="0.2">
      <c r="B304"/>
      <c r="J304"/>
    </row>
    <row r="305" spans="2:10" x14ac:dyDescent="0.2">
      <c r="B305"/>
      <c r="J305"/>
    </row>
    <row r="306" spans="2:10" x14ac:dyDescent="0.2">
      <c r="B306"/>
      <c r="J306"/>
    </row>
    <row r="307" spans="2:10" x14ac:dyDescent="0.2">
      <c r="B307"/>
      <c r="J307"/>
    </row>
    <row r="308" spans="2:10" x14ac:dyDescent="0.2">
      <c r="B308"/>
      <c r="J308"/>
    </row>
    <row r="309" spans="2:10" x14ac:dyDescent="0.2">
      <c r="B309"/>
      <c r="J309"/>
    </row>
    <row r="310" spans="2:10" x14ac:dyDescent="0.2">
      <c r="B310"/>
      <c r="J310"/>
    </row>
    <row r="311" spans="2:10" x14ac:dyDescent="0.2">
      <c r="B311"/>
      <c r="J311"/>
    </row>
    <row r="312" spans="2:10" x14ac:dyDescent="0.2">
      <c r="B312"/>
      <c r="J312"/>
    </row>
    <row r="313" spans="2:10" x14ac:dyDescent="0.2">
      <c r="B313"/>
      <c r="J313"/>
    </row>
    <row r="314" spans="2:10" x14ac:dyDescent="0.2">
      <c r="B314"/>
      <c r="J314"/>
    </row>
    <row r="315" spans="2:10" x14ac:dyDescent="0.2">
      <c r="B315"/>
      <c r="J315"/>
    </row>
    <row r="316" spans="2:10" x14ac:dyDescent="0.2">
      <c r="B316"/>
      <c r="J316"/>
    </row>
    <row r="317" spans="2:10" x14ac:dyDescent="0.2">
      <c r="B317"/>
      <c r="J317"/>
    </row>
    <row r="318" spans="2:10" x14ac:dyDescent="0.2">
      <c r="B318"/>
      <c r="J318"/>
    </row>
    <row r="319" spans="2:10" x14ac:dyDescent="0.2">
      <c r="B319"/>
      <c r="J319"/>
    </row>
    <row r="320" spans="2:10" x14ac:dyDescent="0.2">
      <c r="B320"/>
      <c r="J320"/>
    </row>
    <row r="321" spans="2:10" x14ac:dyDescent="0.2">
      <c r="B321"/>
      <c r="J321"/>
    </row>
    <row r="322" spans="2:10" x14ac:dyDescent="0.2">
      <c r="B322"/>
      <c r="J322"/>
    </row>
    <row r="323" spans="2:10" x14ac:dyDescent="0.2">
      <c r="B323"/>
      <c r="J323"/>
    </row>
    <row r="324" spans="2:10" x14ac:dyDescent="0.2">
      <c r="B324"/>
      <c r="J324"/>
    </row>
    <row r="325" spans="2:10" x14ac:dyDescent="0.2">
      <c r="B325"/>
      <c r="J325"/>
    </row>
    <row r="326" spans="2:10" x14ac:dyDescent="0.2">
      <c r="B326"/>
      <c r="J326"/>
    </row>
    <row r="327" spans="2:10" x14ac:dyDescent="0.2">
      <c r="B327"/>
      <c r="J327"/>
    </row>
    <row r="328" spans="2:10" x14ac:dyDescent="0.2">
      <c r="B328"/>
      <c r="J328"/>
    </row>
    <row r="329" spans="2:10" x14ac:dyDescent="0.2">
      <c r="B329"/>
      <c r="J329"/>
    </row>
    <row r="330" spans="2:10" x14ac:dyDescent="0.2">
      <c r="B330"/>
      <c r="J330"/>
    </row>
    <row r="331" spans="2:10" x14ac:dyDescent="0.2">
      <c r="B331"/>
      <c r="J331"/>
    </row>
    <row r="332" spans="2:10" x14ac:dyDescent="0.2">
      <c r="B332"/>
      <c r="J332"/>
    </row>
    <row r="333" spans="2:10" x14ac:dyDescent="0.2">
      <c r="B333"/>
      <c r="J333"/>
    </row>
    <row r="334" spans="2:10" x14ac:dyDescent="0.2">
      <c r="B334"/>
      <c r="J334"/>
    </row>
    <row r="335" spans="2:10" x14ac:dyDescent="0.2">
      <c r="B335"/>
      <c r="J335"/>
    </row>
    <row r="336" spans="2:10" x14ac:dyDescent="0.2">
      <c r="B336"/>
      <c r="J336"/>
    </row>
    <row r="337" spans="2:10" x14ac:dyDescent="0.2">
      <c r="B337"/>
      <c r="J337"/>
    </row>
  </sheetData>
  <mergeCells count="15">
    <mergeCell ref="O1:V1"/>
    <mergeCell ref="A2:U2"/>
    <mergeCell ref="A3:U3"/>
    <mergeCell ref="B5:I5"/>
    <mergeCell ref="J5:J6"/>
    <mergeCell ref="K5:Q5"/>
    <mergeCell ref="R5:V5"/>
    <mergeCell ref="A121:J121"/>
    <mergeCell ref="A123:U123"/>
    <mergeCell ref="A5:A6"/>
    <mergeCell ref="A8:V8"/>
    <mergeCell ref="A9:V9"/>
    <mergeCell ref="A21:V21"/>
    <mergeCell ref="A104:V104"/>
    <mergeCell ref="A112:V112"/>
  </mergeCells>
  <phoneticPr fontId="14" type="noConversion"/>
  <printOptions horizontalCentered="1"/>
  <pageMargins left="0.19685039370078741" right="0.19685039370078741" top="0.39370078740157483" bottom="0.39370078740157483" header="0" footer="0"/>
  <pageSetup paperSize="9" scale="30" fitToWidth="0" fitToHeight="0" orientation="landscape" r:id="rId1"/>
  <headerFooter alignWithMargins="0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Лист5">
    <tabColor indexed="50"/>
  </sheetPr>
  <dimension ref="A1:AQ32"/>
  <sheetViews>
    <sheetView view="pageBreakPreview" zoomScale="75" zoomScaleNormal="75" workbookViewId="0">
      <pane xSplit="16" ySplit="9" topLeftCell="Q10" activePane="bottomRight" state="frozen"/>
      <selection pane="topRight" activeCell="Q1" sqref="Q1"/>
      <selection pane="bottomLeft" activeCell="A10" sqref="A10"/>
      <selection pane="bottomRight" activeCell="I37" sqref="I37"/>
    </sheetView>
  </sheetViews>
  <sheetFormatPr defaultRowHeight="12.75" x14ac:dyDescent="0.2"/>
  <cols>
    <col min="1" max="1" width="27.85546875" customWidth="1"/>
    <col min="2" max="2" width="9.42578125" customWidth="1"/>
    <col min="3" max="3" width="10.5703125" bestFit="1" customWidth="1"/>
    <col min="4" max="4" width="10.42578125" customWidth="1"/>
    <col min="5" max="7" width="10.5703125" bestFit="1" customWidth="1"/>
    <col min="9" max="9" width="12" bestFit="1" customWidth="1"/>
    <col min="10" max="10" width="10.5703125" customWidth="1"/>
    <col min="11" max="13" width="10.5703125" bestFit="1" customWidth="1"/>
    <col min="15" max="15" width="12" bestFit="1" customWidth="1"/>
    <col min="16" max="16" width="10.28515625" customWidth="1"/>
    <col min="20" max="21" width="11.140625" customWidth="1"/>
    <col min="22" max="22" width="35.140625" customWidth="1"/>
    <col min="23" max="23" width="22.42578125" customWidth="1"/>
    <col min="24" max="24" width="17.42578125" customWidth="1"/>
    <col min="25" max="25" width="12.140625" customWidth="1"/>
    <col min="26" max="26" width="12.42578125" customWidth="1"/>
    <col min="27" max="27" width="12" customWidth="1"/>
    <col min="28" max="28" width="11.5703125" customWidth="1"/>
    <col min="29" max="29" width="12.140625" customWidth="1"/>
    <col min="30" max="30" width="12.85546875" customWidth="1"/>
    <col min="31" max="31" width="10" customWidth="1"/>
    <col min="32" max="32" width="9.85546875" customWidth="1"/>
    <col min="33" max="34" width="10.42578125" customWidth="1"/>
    <col min="35" max="35" width="10" customWidth="1"/>
    <col min="36" max="37" width="11.140625" customWidth="1"/>
    <col min="38" max="38" width="18.7109375" customWidth="1"/>
    <col min="39" max="39" width="16.140625" customWidth="1"/>
    <col min="40" max="40" width="16.42578125" customWidth="1"/>
    <col min="41" max="41" width="19.28515625" customWidth="1"/>
    <col min="42" max="42" width="16.7109375" customWidth="1"/>
    <col min="43" max="43" width="15.85546875" customWidth="1"/>
  </cols>
  <sheetData>
    <row r="1" spans="1:43" ht="29.45" customHeight="1" x14ac:dyDescent="0.3">
      <c r="A1" s="43"/>
      <c r="B1" s="43"/>
      <c r="C1" s="43"/>
      <c r="D1" s="43"/>
      <c r="E1" s="364"/>
      <c r="F1" s="364"/>
      <c r="G1" s="364"/>
    </row>
    <row r="2" spans="1:43" ht="42.75" customHeight="1" x14ac:dyDescent="0.2">
      <c r="A2" s="365" t="s">
        <v>284</v>
      </c>
      <c r="B2" s="365"/>
      <c r="C2" s="365"/>
      <c r="D2" s="365"/>
      <c r="E2" s="365"/>
      <c r="F2" s="365"/>
      <c r="G2" s="365"/>
      <c r="H2" s="365"/>
      <c r="I2" s="365"/>
      <c r="J2" s="365"/>
      <c r="K2" s="365"/>
      <c r="L2" s="365"/>
      <c r="M2" s="365"/>
      <c r="N2" s="365"/>
      <c r="O2" s="365"/>
      <c r="P2" s="365"/>
      <c r="Q2" s="365"/>
      <c r="R2" s="365"/>
      <c r="S2" s="365"/>
      <c r="T2" s="365"/>
      <c r="U2" s="365"/>
      <c r="V2" s="365"/>
      <c r="W2" s="365"/>
      <c r="X2" s="126"/>
      <c r="Y2" s="126"/>
      <c r="Z2" s="126"/>
      <c r="AA2" s="126"/>
      <c r="AB2" s="126"/>
      <c r="AC2" s="126"/>
      <c r="AD2" s="126"/>
      <c r="AE2" s="126"/>
      <c r="AF2" s="126"/>
      <c r="AG2" s="126"/>
      <c r="AH2" s="126"/>
      <c r="AI2" s="126"/>
      <c r="AJ2" s="126"/>
      <c r="AK2" s="126"/>
      <c r="AL2" s="125"/>
      <c r="AM2" s="125"/>
      <c r="AN2" s="125"/>
      <c r="AO2" s="125"/>
      <c r="AP2" s="125"/>
      <c r="AQ2" s="125"/>
    </row>
    <row r="3" spans="1:43" ht="18.75" x14ac:dyDescent="0.3">
      <c r="A3" s="43"/>
      <c r="B3" s="43"/>
      <c r="C3" s="43"/>
      <c r="D3" s="43"/>
      <c r="E3" s="43"/>
      <c r="F3" s="43"/>
      <c r="G3" s="43"/>
      <c r="AK3" s="125"/>
      <c r="AL3" s="124"/>
      <c r="AM3" s="124"/>
      <c r="AN3" s="124"/>
      <c r="AO3" s="124"/>
      <c r="AP3" s="124"/>
      <c r="AQ3" s="124"/>
    </row>
    <row r="4" spans="1:43" ht="58.15" customHeight="1" x14ac:dyDescent="0.2">
      <c r="A4" s="349" t="s">
        <v>89</v>
      </c>
      <c r="B4" s="357" t="s">
        <v>92</v>
      </c>
      <c r="C4" s="358"/>
      <c r="D4" s="358"/>
      <c r="E4" s="358"/>
      <c r="F4" s="358"/>
      <c r="G4" s="359"/>
      <c r="H4" s="357" t="s">
        <v>90</v>
      </c>
      <c r="I4" s="358"/>
      <c r="J4" s="358"/>
      <c r="K4" s="358"/>
      <c r="L4" s="358"/>
      <c r="M4" s="359"/>
      <c r="N4" s="357" t="s">
        <v>91</v>
      </c>
      <c r="O4" s="358"/>
      <c r="P4" s="358"/>
      <c r="Q4" s="358"/>
      <c r="R4" s="358"/>
      <c r="S4" s="359"/>
      <c r="T4" s="357" t="s">
        <v>106</v>
      </c>
      <c r="U4" s="359"/>
      <c r="V4" s="357" t="s">
        <v>129</v>
      </c>
      <c r="W4" s="359"/>
      <c r="X4" s="350" t="s">
        <v>115</v>
      </c>
      <c r="Y4" s="352" t="s">
        <v>116</v>
      </c>
      <c r="Z4" s="354"/>
      <c r="AA4" s="354"/>
      <c r="AB4" s="354"/>
      <c r="AC4" s="354"/>
      <c r="AD4" s="354"/>
      <c r="AE4" s="353"/>
      <c r="AF4" s="349" t="s">
        <v>107</v>
      </c>
      <c r="AG4" s="349"/>
      <c r="AH4" s="349"/>
      <c r="AI4" s="349"/>
      <c r="AJ4" s="349"/>
      <c r="AK4" s="349"/>
      <c r="AL4" s="349" t="s">
        <v>117</v>
      </c>
      <c r="AM4" s="352" t="s">
        <v>116</v>
      </c>
      <c r="AN4" s="354"/>
      <c r="AO4" s="354"/>
      <c r="AP4" s="354"/>
      <c r="AQ4" s="353"/>
    </row>
    <row r="5" spans="1:43" ht="102" customHeight="1" x14ac:dyDescent="0.2">
      <c r="A5" s="349"/>
      <c r="B5" s="360"/>
      <c r="C5" s="361"/>
      <c r="D5" s="361"/>
      <c r="E5" s="361"/>
      <c r="F5" s="361"/>
      <c r="G5" s="362"/>
      <c r="H5" s="360"/>
      <c r="I5" s="361"/>
      <c r="J5" s="361"/>
      <c r="K5" s="361"/>
      <c r="L5" s="361"/>
      <c r="M5" s="362"/>
      <c r="N5" s="360"/>
      <c r="O5" s="361"/>
      <c r="P5" s="361"/>
      <c r="Q5" s="361"/>
      <c r="R5" s="361"/>
      <c r="S5" s="362"/>
      <c r="T5" s="360"/>
      <c r="U5" s="362"/>
      <c r="V5" s="360"/>
      <c r="W5" s="362"/>
      <c r="X5" s="363"/>
      <c r="Y5" s="349" t="s">
        <v>126</v>
      </c>
      <c r="Z5" s="349" t="s">
        <v>125</v>
      </c>
      <c r="AA5" s="349" t="s">
        <v>127</v>
      </c>
      <c r="AB5" s="349" t="s">
        <v>128</v>
      </c>
      <c r="AC5" s="349" t="s">
        <v>17</v>
      </c>
      <c r="AD5" s="349" t="s">
        <v>45</v>
      </c>
      <c r="AE5" s="349" t="s">
        <v>49</v>
      </c>
      <c r="AF5" s="352" t="s">
        <v>95</v>
      </c>
      <c r="AG5" s="353"/>
      <c r="AH5" s="352" t="s">
        <v>96</v>
      </c>
      <c r="AI5" s="353"/>
      <c r="AJ5" s="352" t="s">
        <v>97</v>
      </c>
      <c r="AK5" s="353"/>
      <c r="AL5" s="349"/>
      <c r="AM5" s="349" t="s">
        <v>118</v>
      </c>
      <c r="AN5" s="349" t="s">
        <v>119</v>
      </c>
      <c r="AO5" s="349" t="s">
        <v>120</v>
      </c>
      <c r="AP5" s="349" t="s">
        <v>121</v>
      </c>
      <c r="AQ5" s="349" t="s">
        <v>122</v>
      </c>
    </row>
    <row r="6" spans="1:43" ht="39.75" customHeight="1" x14ac:dyDescent="0.2">
      <c r="A6" s="349"/>
      <c r="B6" s="349" t="s">
        <v>274</v>
      </c>
      <c r="C6" s="349" t="s">
        <v>281</v>
      </c>
      <c r="D6" s="349" t="s">
        <v>283</v>
      </c>
      <c r="E6" s="349" t="s">
        <v>65</v>
      </c>
      <c r="F6" s="349"/>
      <c r="G6" s="349"/>
      <c r="H6" s="349" t="str">
        <f>B6</f>
        <v>Факт 
2019 г.</v>
      </c>
      <c r="I6" s="349" t="str">
        <f>C6</f>
        <v>Факт 
2020 г.</v>
      </c>
      <c r="J6" s="349" t="str">
        <f>D6</f>
        <v>Оценка 2021 г.</v>
      </c>
      <c r="K6" s="349" t="s">
        <v>65</v>
      </c>
      <c r="L6" s="349"/>
      <c r="M6" s="349"/>
      <c r="N6" s="349" t="str">
        <f>B6</f>
        <v>Факт 
2019 г.</v>
      </c>
      <c r="O6" s="349" t="str">
        <f>C6</f>
        <v>Факт 
2020 г.</v>
      </c>
      <c r="P6" s="349" t="str">
        <f>D6</f>
        <v>Оценка 2021 г.</v>
      </c>
      <c r="Q6" s="349" t="s">
        <v>65</v>
      </c>
      <c r="R6" s="349"/>
      <c r="S6" s="349"/>
      <c r="T6" s="350" t="str">
        <f>C6</f>
        <v>Факт 
2020 г.</v>
      </c>
      <c r="U6" s="350" t="str">
        <f>D6</f>
        <v>Оценка 2021 г.</v>
      </c>
      <c r="V6" s="350" t="s">
        <v>123</v>
      </c>
      <c r="W6" s="350" t="s">
        <v>124</v>
      </c>
      <c r="X6" s="363"/>
      <c r="Y6" s="349"/>
      <c r="Z6" s="349"/>
      <c r="AA6" s="349"/>
      <c r="AB6" s="349"/>
      <c r="AC6" s="349"/>
      <c r="AD6" s="349"/>
      <c r="AE6" s="349"/>
      <c r="AF6" s="350" t="s">
        <v>281</v>
      </c>
      <c r="AG6" s="350" t="s">
        <v>283</v>
      </c>
      <c r="AH6" s="350" t="s">
        <v>281</v>
      </c>
      <c r="AI6" s="350" t="s">
        <v>283</v>
      </c>
      <c r="AJ6" s="350" t="s">
        <v>281</v>
      </c>
      <c r="AK6" s="350" t="s">
        <v>283</v>
      </c>
      <c r="AL6" s="349"/>
      <c r="AM6" s="349"/>
      <c r="AN6" s="349"/>
      <c r="AO6" s="349"/>
      <c r="AP6" s="349"/>
      <c r="AQ6" s="349"/>
    </row>
    <row r="7" spans="1:43" ht="36" customHeight="1" x14ac:dyDescent="0.2">
      <c r="A7" s="349"/>
      <c r="B7" s="349"/>
      <c r="C7" s="349"/>
      <c r="D7" s="349"/>
      <c r="E7" s="137" t="s">
        <v>270</v>
      </c>
      <c r="F7" s="137" t="s">
        <v>275</v>
      </c>
      <c r="G7" s="137" t="s">
        <v>282</v>
      </c>
      <c r="H7" s="349"/>
      <c r="I7" s="349"/>
      <c r="J7" s="349"/>
      <c r="K7" s="140" t="str">
        <f>E7</f>
        <v>2022 г.</v>
      </c>
      <c r="L7" s="140" t="str">
        <f>F7</f>
        <v>2023 г.</v>
      </c>
      <c r="M7" s="140" t="str">
        <f>G7</f>
        <v>2024 г.</v>
      </c>
      <c r="N7" s="349"/>
      <c r="O7" s="349"/>
      <c r="P7" s="349"/>
      <c r="Q7" s="140" t="str">
        <f>E7</f>
        <v>2022 г.</v>
      </c>
      <c r="R7" s="140" t="str">
        <f>F7</f>
        <v>2023 г.</v>
      </c>
      <c r="S7" s="140" t="str">
        <f>G7</f>
        <v>2024 г.</v>
      </c>
      <c r="T7" s="351"/>
      <c r="U7" s="351"/>
      <c r="V7" s="351"/>
      <c r="W7" s="351"/>
      <c r="X7" s="351"/>
      <c r="Y7" s="349"/>
      <c r="Z7" s="349"/>
      <c r="AA7" s="349"/>
      <c r="AB7" s="349"/>
      <c r="AC7" s="349"/>
      <c r="AD7" s="349"/>
      <c r="AE7" s="349"/>
      <c r="AF7" s="351"/>
      <c r="AG7" s="351"/>
      <c r="AH7" s="351"/>
      <c r="AI7" s="351"/>
      <c r="AJ7" s="351"/>
      <c r="AK7" s="351"/>
      <c r="AL7" s="349"/>
      <c r="AM7" s="349"/>
      <c r="AN7" s="349"/>
      <c r="AO7" s="349"/>
      <c r="AP7" s="349"/>
      <c r="AQ7" s="349"/>
    </row>
    <row r="8" spans="1:43" s="171" customFormat="1" ht="31.5" x14ac:dyDescent="0.3">
      <c r="A8" s="262" t="s">
        <v>289</v>
      </c>
      <c r="B8" s="292">
        <v>3341.32</v>
      </c>
      <c r="C8" s="292">
        <v>3426.32</v>
      </c>
      <c r="D8" s="292">
        <v>3584.9271311674356</v>
      </c>
      <c r="E8" s="292">
        <v>3690.1878145140595</v>
      </c>
      <c r="F8" s="292">
        <v>3798.9582081637163</v>
      </c>
      <c r="G8" s="292">
        <v>3839.6230715177021</v>
      </c>
      <c r="H8" s="293">
        <v>740.15876840479939</v>
      </c>
      <c r="I8" s="294">
        <v>771.44067711608307</v>
      </c>
      <c r="J8" s="294">
        <v>777.41773290349113</v>
      </c>
      <c r="K8" s="294">
        <v>799.37648029451759</v>
      </c>
      <c r="L8" s="294">
        <v>816.44141001196772</v>
      </c>
      <c r="M8" s="294">
        <v>834.62582478043066</v>
      </c>
      <c r="N8" s="295">
        <v>3387</v>
      </c>
      <c r="O8" s="296">
        <v>3345.6232127838516</v>
      </c>
      <c r="P8" s="296">
        <f>G20</f>
        <v>3265.6232127838516</v>
      </c>
      <c r="Q8" s="296">
        <v>3265.6232127838516</v>
      </c>
      <c r="R8" s="296">
        <v>3265.6232127838516</v>
      </c>
      <c r="S8" s="296">
        <v>3265.6232127838516</v>
      </c>
      <c r="T8" s="297">
        <v>94</v>
      </c>
      <c r="U8" s="297">
        <f>F20</f>
        <v>80</v>
      </c>
      <c r="V8" s="298"/>
      <c r="W8" s="298"/>
      <c r="X8" s="297">
        <f>AH8+AL8+AJ8</f>
        <v>144</v>
      </c>
      <c r="Y8" s="299">
        <v>11</v>
      </c>
      <c r="Z8" s="299">
        <v>11</v>
      </c>
      <c r="AA8" s="299">
        <v>0</v>
      </c>
      <c r="AB8" s="300">
        <v>7</v>
      </c>
      <c r="AC8" s="300">
        <v>32</v>
      </c>
      <c r="AD8" s="300">
        <v>24</v>
      </c>
      <c r="AE8" s="300">
        <v>119</v>
      </c>
      <c r="AF8" s="297">
        <v>249</v>
      </c>
      <c r="AG8" s="297">
        <v>253</v>
      </c>
      <c r="AH8" s="297">
        <v>5</v>
      </c>
      <c r="AI8" s="297">
        <v>5</v>
      </c>
      <c r="AJ8" s="297">
        <v>120</v>
      </c>
      <c r="AK8" s="297">
        <v>124</v>
      </c>
      <c r="AL8" s="301">
        <f>AM8+AN8+AO8+AP8+AQ8+2</f>
        <v>19</v>
      </c>
      <c r="AM8" s="301">
        <v>4</v>
      </c>
      <c r="AN8" s="301">
        <v>7</v>
      </c>
      <c r="AO8" s="301">
        <v>3</v>
      </c>
      <c r="AP8" s="301"/>
      <c r="AQ8" s="301">
        <v>3</v>
      </c>
    </row>
    <row r="9" spans="1:43" s="171" customFormat="1" ht="31.5" x14ac:dyDescent="0.3">
      <c r="A9" s="262" t="s">
        <v>290</v>
      </c>
      <c r="B9" s="292">
        <v>6491.72</v>
      </c>
      <c r="C9" s="292">
        <v>6705.35</v>
      </c>
      <c r="D9" s="292">
        <v>7015.7420518929302</v>
      </c>
      <c r="E9" s="292">
        <v>7221.7383735881522</v>
      </c>
      <c r="F9" s="292">
        <v>7434.6032371705651</v>
      </c>
      <c r="G9" s="292">
        <v>7514.1848245860192</v>
      </c>
      <c r="H9" s="293">
        <v>3294.1552458469396</v>
      </c>
      <c r="I9" s="294">
        <v>3433.3787044887517</v>
      </c>
      <c r="J9" s="294">
        <v>3459.9802263747183</v>
      </c>
      <c r="K9" s="294">
        <v>3557.709964909433</v>
      </c>
      <c r="L9" s="294">
        <v>3633.6592478854382</v>
      </c>
      <c r="M9" s="294">
        <v>3714.5909180341159</v>
      </c>
      <c r="N9" s="295">
        <v>8685</v>
      </c>
      <c r="O9" s="296">
        <v>8580.2245584524826</v>
      </c>
      <c r="P9" s="296">
        <f t="shared" ref="P9:P15" si="0">G21</f>
        <v>8475.2245584524826</v>
      </c>
      <c r="Q9" s="296">
        <v>8475.2245584524826</v>
      </c>
      <c r="R9" s="296">
        <v>8475.2245584524826</v>
      </c>
      <c r="S9" s="296">
        <v>8475.2245584524826</v>
      </c>
      <c r="T9" s="297">
        <v>172</v>
      </c>
      <c r="U9" s="297">
        <f t="shared" ref="U9:U15" si="1">F21</f>
        <v>105</v>
      </c>
      <c r="V9" s="298"/>
      <c r="W9" s="298"/>
      <c r="X9" s="297">
        <f t="shared" ref="X9:X15" si="2">AH9+AL9+AJ9</f>
        <v>135</v>
      </c>
      <c r="Y9" s="299">
        <v>20</v>
      </c>
      <c r="Z9" s="300">
        <v>15</v>
      </c>
      <c r="AA9" s="300">
        <v>1</v>
      </c>
      <c r="AB9" s="300">
        <v>15</v>
      </c>
      <c r="AC9" s="300">
        <v>28</v>
      </c>
      <c r="AD9" s="300">
        <v>12</v>
      </c>
      <c r="AE9" s="300">
        <v>126</v>
      </c>
      <c r="AF9" s="297">
        <v>379</v>
      </c>
      <c r="AG9" s="297">
        <v>359</v>
      </c>
      <c r="AH9" s="297">
        <v>7</v>
      </c>
      <c r="AI9" s="297">
        <v>7</v>
      </c>
      <c r="AJ9" s="297">
        <v>108</v>
      </c>
      <c r="AK9" s="297">
        <v>105</v>
      </c>
      <c r="AL9" s="301">
        <f>AM9+AN9+AO9+AP9+AQ9+4</f>
        <v>20</v>
      </c>
      <c r="AM9" s="301">
        <v>5</v>
      </c>
      <c r="AN9" s="301">
        <v>5</v>
      </c>
      <c r="AO9" s="301">
        <v>3</v>
      </c>
      <c r="AP9" s="301"/>
      <c r="AQ9" s="301">
        <v>3</v>
      </c>
    </row>
    <row r="10" spans="1:43" s="171" customFormat="1" ht="31.5" x14ac:dyDescent="0.3">
      <c r="A10" s="262" t="s">
        <v>291</v>
      </c>
      <c r="B10" s="292">
        <v>862</v>
      </c>
      <c r="C10" s="292">
        <v>896.69299999999998</v>
      </c>
      <c r="D10" s="292">
        <v>938.20148082707863</v>
      </c>
      <c r="E10" s="292">
        <v>965.74896655700843</v>
      </c>
      <c r="F10" s="292">
        <v>994.21496897726411</v>
      </c>
      <c r="G10" s="292">
        <v>1004.8572592164846</v>
      </c>
      <c r="H10" s="293">
        <v>404.28673136447537</v>
      </c>
      <c r="I10" s="294">
        <v>421.37341757773675</v>
      </c>
      <c r="J10" s="294">
        <v>424.63818245066028</v>
      </c>
      <c r="K10" s="294">
        <v>436.63240664489564</v>
      </c>
      <c r="L10" s="294">
        <v>445.95354820389042</v>
      </c>
      <c r="M10" s="294">
        <v>455.88617066590939</v>
      </c>
      <c r="N10" s="295">
        <v>771</v>
      </c>
      <c r="O10" s="296">
        <v>761.54079058031959</v>
      </c>
      <c r="P10" s="296">
        <f t="shared" si="0"/>
        <v>746.54079058031959</v>
      </c>
      <c r="Q10" s="296">
        <v>746.54079058031959</v>
      </c>
      <c r="R10" s="296">
        <v>746.54079058031959</v>
      </c>
      <c r="S10" s="296">
        <v>746.54079058031959</v>
      </c>
      <c r="T10" s="297">
        <v>33</v>
      </c>
      <c r="U10" s="297">
        <f t="shared" si="1"/>
        <v>15</v>
      </c>
      <c r="V10" s="298"/>
      <c r="W10" s="298"/>
      <c r="X10" s="297">
        <f t="shared" si="2"/>
        <v>25</v>
      </c>
      <c r="Y10" s="299">
        <v>2</v>
      </c>
      <c r="Z10" s="300">
        <v>0</v>
      </c>
      <c r="AA10" s="300">
        <v>0</v>
      </c>
      <c r="AB10" s="300">
        <v>2</v>
      </c>
      <c r="AC10" s="300">
        <v>11</v>
      </c>
      <c r="AD10" s="300">
        <v>1</v>
      </c>
      <c r="AE10" s="300">
        <v>15</v>
      </c>
      <c r="AF10" s="297">
        <v>62</v>
      </c>
      <c r="AG10" s="297">
        <v>66</v>
      </c>
      <c r="AH10" s="297">
        <v>0</v>
      </c>
      <c r="AI10" s="297">
        <v>0</v>
      </c>
      <c r="AJ10" s="297">
        <v>19</v>
      </c>
      <c r="AK10" s="297">
        <v>20</v>
      </c>
      <c r="AL10" s="301">
        <f>SUM(AM10:AQ10)</f>
        <v>6</v>
      </c>
      <c r="AM10" s="301">
        <v>2</v>
      </c>
      <c r="AN10" s="301">
        <v>1</v>
      </c>
      <c r="AO10" s="301"/>
      <c r="AP10" s="301"/>
      <c r="AQ10" s="301">
        <v>3</v>
      </c>
    </row>
    <row r="11" spans="1:43" s="171" customFormat="1" ht="31.5" x14ac:dyDescent="0.3">
      <c r="A11" s="262" t="s">
        <v>292</v>
      </c>
      <c r="B11" s="292">
        <v>57.78</v>
      </c>
      <c r="C11" s="292">
        <v>60.139000000000003</v>
      </c>
      <c r="D11" s="292">
        <v>62.923361503022164</v>
      </c>
      <c r="E11" s="292">
        <v>64.770918172358947</v>
      </c>
      <c r="F11" s="292">
        <v>66.680077982314302</v>
      </c>
      <c r="G11" s="292">
        <v>67.393835836706316</v>
      </c>
      <c r="H11" s="293">
        <v>42.813300244924037</v>
      </c>
      <c r="I11" s="294">
        <v>44.622752226121172</v>
      </c>
      <c r="J11" s="294">
        <v>44.968485459219899</v>
      </c>
      <c r="K11" s="294">
        <v>46.238654084095657</v>
      </c>
      <c r="L11" s="294">
        <v>47.225747652177446</v>
      </c>
      <c r="M11" s="294">
        <v>48.277596042676613</v>
      </c>
      <c r="N11" s="295">
        <v>129</v>
      </c>
      <c r="O11" s="296">
        <v>127.91505466778807</v>
      </c>
      <c r="P11" s="296">
        <f t="shared" si="0"/>
        <v>126.91505466778807</v>
      </c>
      <c r="Q11" s="296">
        <v>126.91505466778807</v>
      </c>
      <c r="R11" s="296">
        <v>126.91505466778807</v>
      </c>
      <c r="S11" s="296">
        <v>126.91505466778807</v>
      </c>
      <c r="T11" s="297">
        <v>0</v>
      </c>
      <c r="U11" s="297">
        <f t="shared" si="1"/>
        <v>1</v>
      </c>
      <c r="V11" s="298"/>
      <c r="W11" s="298"/>
      <c r="X11" s="297">
        <f t="shared" si="2"/>
        <v>5</v>
      </c>
      <c r="Y11" s="299">
        <v>1</v>
      </c>
      <c r="Z11" s="300">
        <v>0</v>
      </c>
      <c r="AA11" s="300">
        <v>0</v>
      </c>
      <c r="AB11" s="300">
        <v>0</v>
      </c>
      <c r="AC11" s="300">
        <v>1</v>
      </c>
      <c r="AD11" s="300">
        <v>0</v>
      </c>
      <c r="AE11" s="300">
        <v>6</v>
      </c>
      <c r="AF11" s="297">
        <v>6</v>
      </c>
      <c r="AG11" s="297">
        <v>6</v>
      </c>
      <c r="AH11" s="297">
        <v>0</v>
      </c>
      <c r="AI11" s="297">
        <v>0</v>
      </c>
      <c r="AJ11" s="297">
        <v>1</v>
      </c>
      <c r="AK11" s="297">
        <v>1</v>
      </c>
      <c r="AL11" s="301">
        <f t="shared" ref="AL11:AL15" si="3">SUM(AM11:AQ11)</f>
        <v>4</v>
      </c>
      <c r="AM11" s="301">
        <v>1</v>
      </c>
      <c r="AN11" s="301">
        <v>1</v>
      </c>
      <c r="AO11" s="301"/>
      <c r="AP11" s="301"/>
      <c r="AQ11" s="301">
        <v>2</v>
      </c>
    </row>
    <row r="12" spans="1:43" s="171" customFormat="1" ht="31.5" x14ac:dyDescent="0.3">
      <c r="A12" s="262" t="s">
        <v>293</v>
      </c>
      <c r="B12" s="292">
        <v>49.28</v>
      </c>
      <c r="C12" s="292">
        <v>50.813400000000001</v>
      </c>
      <c r="D12" s="292">
        <v>53.165573974742372</v>
      </c>
      <c r="E12" s="292">
        <v>54.726622342627735</v>
      </c>
      <c r="F12" s="292">
        <v>56.339720795750125</v>
      </c>
      <c r="G12" s="292">
        <v>56.94279324930794</v>
      </c>
      <c r="H12" s="293">
        <v>84.491620953428921</v>
      </c>
      <c r="I12" s="294">
        <v>88.062556388308522</v>
      </c>
      <c r="J12" s="294">
        <v>88.744857475000487</v>
      </c>
      <c r="K12" s="294">
        <v>91.251522585748745</v>
      </c>
      <c r="L12" s="294">
        <v>93.199541895701898</v>
      </c>
      <c r="M12" s="294">
        <v>95.275354201740299</v>
      </c>
      <c r="N12" s="295">
        <v>37</v>
      </c>
      <c r="O12" s="296">
        <v>36.688814129520608</v>
      </c>
      <c r="P12" s="296">
        <f t="shared" si="0"/>
        <v>28.688814129520608</v>
      </c>
      <c r="Q12" s="296">
        <v>28.688814129520608</v>
      </c>
      <c r="R12" s="296">
        <v>28.688814129520608</v>
      </c>
      <c r="S12" s="296">
        <v>28.688814129520608</v>
      </c>
      <c r="T12" s="297">
        <v>9</v>
      </c>
      <c r="U12" s="297">
        <f t="shared" si="1"/>
        <v>8</v>
      </c>
      <c r="V12" s="298"/>
      <c r="W12" s="298"/>
      <c r="X12" s="297">
        <f t="shared" si="2"/>
        <v>17</v>
      </c>
      <c r="Y12" s="299">
        <v>1</v>
      </c>
      <c r="Z12" s="300">
        <v>5</v>
      </c>
      <c r="AA12" s="300">
        <v>0</v>
      </c>
      <c r="AB12" s="300">
        <v>0</v>
      </c>
      <c r="AC12" s="300">
        <v>3</v>
      </c>
      <c r="AD12" s="300">
        <v>2</v>
      </c>
      <c r="AE12" s="300">
        <v>9</v>
      </c>
      <c r="AF12" s="297">
        <v>38</v>
      </c>
      <c r="AG12" s="297">
        <v>38</v>
      </c>
      <c r="AH12" s="297">
        <v>0</v>
      </c>
      <c r="AI12" s="297">
        <v>0</v>
      </c>
      <c r="AJ12" s="297">
        <v>13</v>
      </c>
      <c r="AK12" s="297">
        <v>13</v>
      </c>
      <c r="AL12" s="301">
        <f t="shared" si="3"/>
        <v>4</v>
      </c>
      <c r="AM12" s="301"/>
      <c r="AN12" s="301">
        <v>1</v>
      </c>
      <c r="AO12" s="301">
        <v>1</v>
      </c>
      <c r="AP12" s="301"/>
      <c r="AQ12" s="301">
        <v>2</v>
      </c>
    </row>
    <row r="13" spans="1:43" s="171" customFormat="1" ht="31.5" x14ac:dyDescent="0.3">
      <c r="A13" s="262" t="s">
        <v>294</v>
      </c>
      <c r="B13" s="292">
        <v>24.54</v>
      </c>
      <c r="C13" s="292">
        <v>25.548200000000001</v>
      </c>
      <c r="D13" s="292">
        <v>26.730888539913263</v>
      </c>
      <c r="E13" s="292">
        <v>27.515761283827985</v>
      </c>
      <c r="F13" s="292">
        <v>28.326804064534276</v>
      </c>
      <c r="G13" s="292">
        <v>28.630020249977971</v>
      </c>
      <c r="H13" s="293">
        <v>20.499836575323013</v>
      </c>
      <c r="I13" s="294">
        <v>21.366237196000075</v>
      </c>
      <c r="J13" s="294">
        <v>21.531780957789898</v>
      </c>
      <c r="K13" s="294">
        <v>22.139962272570532</v>
      </c>
      <c r="L13" s="294">
        <v>22.61260177278351</v>
      </c>
      <c r="M13" s="294">
        <v>23.116247134946548</v>
      </c>
      <c r="N13" s="295">
        <v>80</v>
      </c>
      <c r="O13" s="296">
        <v>79.32716568544997</v>
      </c>
      <c r="P13" s="296">
        <f t="shared" si="0"/>
        <v>74.32716568544997</v>
      </c>
      <c r="Q13" s="296">
        <v>74.32716568544997</v>
      </c>
      <c r="R13" s="296">
        <v>74.32716568544997</v>
      </c>
      <c r="S13" s="296">
        <v>74.32716568544997</v>
      </c>
      <c r="T13" s="297">
        <v>9</v>
      </c>
      <c r="U13" s="297">
        <f t="shared" si="1"/>
        <v>5</v>
      </c>
      <c r="V13" s="298"/>
      <c r="W13" s="298"/>
      <c r="X13" s="297">
        <f t="shared" si="2"/>
        <v>7</v>
      </c>
      <c r="Y13" s="299">
        <v>0</v>
      </c>
      <c r="Z13" s="300">
        <v>0</v>
      </c>
      <c r="AA13" s="300">
        <v>0</v>
      </c>
      <c r="AB13" s="300">
        <v>1</v>
      </c>
      <c r="AC13" s="300">
        <v>0</v>
      </c>
      <c r="AD13" s="300">
        <v>0</v>
      </c>
      <c r="AE13" s="300">
        <v>4</v>
      </c>
      <c r="AF13" s="297">
        <v>10</v>
      </c>
      <c r="AG13" s="297">
        <v>10</v>
      </c>
      <c r="AH13" s="297">
        <v>1</v>
      </c>
      <c r="AI13" s="297">
        <v>1</v>
      </c>
      <c r="AJ13" s="297">
        <v>2</v>
      </c>
      <c r="AK13" s="297">
        <v>2</v>
      </c>
      <c r="AL13" s="301">
        <f>SUM(AM13:AQ13)</f>
        <v>4</v>
      </c>
      <c r="AM13" s="301"/>
      <c r="AN13" s="301"/>
      <c r="AO13" s="301"/>
      <c r="AP13" s="301"/>
      <c r="AQ13" s="301">
        <v>4</v>
      </c>
    </row>
    <row r="14" spans="1:43" s="171" customFormat="1" ht="31.5" x14ac:dyDescent="0.3">
      <c r="A14" s="262" t="s">
        <v>295</v>
      </c>
      <c r="B14" s="292">
        <v>20.82</v>
      </c>
      <c r="C14" s="292">
        <v>21.8749</v>
      </c>
      <c r="D14" s="292">
        <v>22.887467627338879</v>
      </c>
      <c r="E14" s="292">
        <v>23.559489789681379</v>
      </c>
      <c r="F14" s="292">
        <v>24.253919208295173</v>
      </c>
      <c r="G14" s="292">
        <v>24.513538360799792</v>
      </c>
      <c r="H14" s="293">
        <v>9.93399614865824</v>
      </c>
      <c r="I14" s="294">
        <v>10.353844394637022</v>
      </c>
      <c r="J14" s="294">
        <v>10.434065087422161</v>
      </c>
      <c r="K14" s="294">
        <v>10.728783087564144</v>
      </c>
      <c r="L14" s="294">
        <v>10.957819009756394</v>
      </c>
      <c r="M14" s="294">
        <v>11.201880032859371</v>
      </c>
      <c r="N14" s="295">
        <v>33</v>
      </c>
      <c r="O14" s="296">
        <v>32.722455845248106</v>
      </c>
      <c r="P14" s="296">
        <f t="shared" si="0"/>
        <v>27.722455845248106</v>
      </c>
      <c r="Q14" s="296">
        <v>27.722455845248106</v>
      </c>
      <c r="R14" s="296">
        <v>27.722455845248106</v>
      </c>
      <c r="S14" s="296">
        <v>27.722455845248106</v>
      </c>
      <c r="T14" s="297">
        <v>9</v>
      </c>
      <c r="U14" s="297">
        <f t="shared" si="1"/>
        <v>5</v>
      </c>
      <c r="V14" s="298"/>
      <c r="W14" s="298"/>
      <c r="X14" s="297">
        <f t="shared" si="2"/>
        <v>7</v>
      </c>
      <c r="Y14" s="299">
        <v>0</v>
      </c>
      <c r="Z14" s="300">
        <v>0</v>
      </c>
      <c r="AA14" s="300">
        <v>0</v>
      </c>
      <c r="AB14" s="300">
        <v>0</v>
      </c>
      <c r="AC14" s="300">
        <v>1</v>
      </c>
      <c r="AD14" s="300">
        <v>1</v>
      </c>
      <c r="AE14" s="300">
        <v>3</v>
      </c>
      <c r="AF14" s="297">
        <v>15</v>
      </c>
      <c r="AG14" s="297">
        <v>13</v>
      </c>
      <c r="AH14" s="297">
        <v>0</v>
      </c>
      <c r="AI14" s="297">
        <v>0</v>
      </c>
      <c r="AJ14" s="297">
        <v>3</v>
      </c>
      <c r="AK14" s="297">
        <v>4</v>
      </c>
      <c r="AL14" s="301">
        <f t="shared" si="3"/>
        <v>4</v>
      </c>
      <c r="AM14" s="301"/>
      <c r="AN14" s="301">
        <v>2</v>
      </c>
      <c r="AO14" s="301"/>
      <c r="AP14" s="301"/>
      <c r="AQ14" s="301">
        <v>2</v>
      </c>
    </row>
    <row r="15" spans="1:43" s="171" customFormat="1" ht="31.5" x14ac:dyDescent="0.3">
      <c r="A15" s="262" t="s">
        <v>296</v>
      </c>
      <c r="B15" s="292">
        <v>1.59</v>
      </c>
      <c r="C15" s="292">
        <v>0.98682999999999998</v>
      </c>
      <c r="D15" s="292">
        <v>1.0220444675393185</v>
      </c>
      <c r="E15" s="292">
        <v>1.0520537522827969</v>
      </c>
      <c r="F15" s="292">
        <v>1.0830636375591829</v>
      </c>
      <c r="G15" s="292">
        <v>1.09465698300067</v>
      </c>
      <c r="H15" s="293">
        <v>18.557500461451085</v>
      </c>
      <c r="I15" s="294">
        <v>19.341810612360799</v>
      </c>
      <c r="J15" s="294">
        <v>19.491669291697935</v>
      </c>
      <c r="K15" s="294">
        <v>20.042226121174011</v>
      </c>
      <c r="L15" s="294">
        <v>20.470083568284618</v>
      </c>
      <c r="M15" s="294">
        <v>20.926009107320333</v>
      </c>
      <c r="N15" s="302">
        <v>5</v>
      </c>
      <c r="O15" s="296">
        <v>4.9579478553406231</v>
      </c>
      <c r="P15" s="296">
        <f t="shared" si="0"/>
        <v>3.9579478553406231</v>
      </c>
      <c r="Q15" s="296">
        <v>3.9579478553406231</v>
      </c>
      <c r="R15" s="296">
        <v>3.9579478553406231</v>
      </c>
      <c r="S15" s="296">
        <v>3.9579478553406231</v>
      </c>
      <c r="T15" s="297">
        <v>3</v>
      </c>
      <c r="U15" s="297">
        <f t="shared" si="1"/>
        <v>1</v>
      </c>
      <c r="V15" s="298"/>
      <c r="W15" s="298"/>
      <c r="X15" s="297">
        <f t="shared" si="2"/>
        <v>0</v>
      </c>
      <c r="Y15" s="299">
        <v>0</v>
      </c>
      <c r="Z15" s="300">
        <v>0</v>
      </c>
      <c r="AA15" s="300">
        <v>0</v>
      </c>
      <c r="AB15" s="300">
        <v>0</v>
      </c>
      <c r="AC15" s="300">
        <v>0</v>
      </c>
      <c r="AD15" s="300">
        <v>0</v>
      </c>
      <c r="AE15" s="300">
        <v>2</v>
      </c>
      <c r="AF15" s="297">
        <v>0</v>
      </c>
      <c r="AG15" s="297">
        <v>0</v>
      </c>
      <c r="AH15" s="297">
        <v>0</v>
      </c>
      <c r="AI15" s="297">
        <v>0</v>
      </c>
      <c r="AJ15" s="297">
        <v>0</v>
      </c>
      <c r="AK15" s="297">
        <v>0</v>
      </c>
      <c r="AL15" s="301">
        <f t="shared" si="3"/>
        <v>0</v>
      </c>
      <c r="AM15" s="301"/>
      <c r="AN15" s="301"/>
      <c r="AO15" s="301"/>
      <c r="AP15" s="301"/>
      <c r="AQ15" s="301"/>
    </row>
    <row r="16" spans="1:43" s="171" customFormat="1" ht="19.5" x14ac:dyDescent="0.3">
      <c r="A16" s="303" t="s">
        <v>94</v>
      </c>
      <c r="B16" s="292">
        <f t="shared" ref="B16:G16" si="4">SUM(B8:B15)</f>
        <v>10849.050000000003</v>
      </c>
      <c r="C16" s="292">
        <f t="shared" si="4"/>
        <v>11187.725329999999</v>
      </c>
      <c r="D16" s="292">
        <f t="shared" si="4"/>
        <v>11705.6</v>
      </c>
      <c r="E16" s="292">
        <f t="shared" si="4"/>
        <v>12049.3</v>
      </c>
      <c r="F16" s="292">
        <f t="shared" si="4"/>
        <v>12404.46</v>
      </c>
      <c r="G16" s="292">
        <f t="shared" si="4"/>
        <v>12537.24</v>
      </c>
      <c r="H16" s="304">
        <f t="shared" ref="H16" si="5">SUM(H8:H15)</f>
        <v>4614.896999999999</v>
      </c>
      <c r="I16" s="292">
        <v>4809.9380000000001</v>
      </c>
      <c r="J16" s="292">
        <v>4847.2070000000003</v>
      </c>
      <c r="K16" s="292">
        <v>4984.12</v>
      </c>
      <c r="L16" s="292">
        <v>5090.5200000000004</v>
      </c>
      <c r="M16" s="292">
        <v>5203.8599999999997</v>
      </c>
      <c r="N16" s="292">
        <v>13127</v>
      </c>
      <c r="O16" s="292">
        <v>12969</v>
      </c>
      <c r="P16" s="305">
        <f>SUM(P8:P15)</f>
        <v>12749.000000000004</v>
      </c>
      <c r="Q16" s="305">
        <v>12749.000000000004</v>
      </c>
      <c r="R16" s="305">
        <v>12749.000000000004</v>
      </c>
      <c r="S16" s="305">
        <v>12749.000000000004</v>
      </c>
      <c r="T16" s="306">
        <v>329</v>
      </c>
      <c r="U16" s="306">
        <v>220</v>
      </c>
      <c r="V16" s="298"/>
      <c r="W16" s="298"/>
      <c r="X16" s="297">
        <v>492</v>
      </c>
      <c r="Y16" s="297">
        <f>Y8+Y9+Y10+Y11+Y12+Y13+Y14+Y15</f>
        <v>35</v>
      </c>
      <c r="Z16" s="297">
        <f t="shared" ref="Z16:AE16" si="6">Z8+Z9+Z10+Z11+Z12+Z13+Z14+Z15</f>
        <v>31</v>
      </c>
      <c r="AA16" s="297">
        <f t="shared" si="6"/>
        <v>1</v>
      </c>
      <c r="AB16" s="297">
        <f t="shared" si="6"/>
        <v>25</v>
      </c>
      <c r="AC16" s="297">
        <f t="shared" si="6"/>
        <v>76</v>
      </c>
      <c r="AD16" s="297">
        <f t="shared" si="6"/>
        <v>40</v>
      </c>
      <c r="AE16" s="297">
        <f t="shared" si="6"/>
        <v>284</v>
      </c>
      <c r="AF16" s="297">
        <v>759</v>
      </c>
      <c r="AG16" s="297">
        <f>SUM(AG8:AG15)</f>
        <v>745</v>
      </c>
      <c r="AH16" s="297">
        <v>13</v>
      </c>
      <c r="AI16" s="297">
        <v>13</v>
      </c>
      <c r="AJ16" s="297">
        <v>266</v>
      </c>
      <c r="AK16" s="297">
        <f>SUM(AK8:AK15)</f>
        <v>269</v>
      </c>
      <c r="AL16" s="301">
        <f>SUM(AL8:AL15)</f>
        <v>61</v>
      </c>
      <c r="AM16" s="301">
        <f>SUM(AM8:AM15)</f>
        <v>12</v>
      </c>
      <c r="AN16" s="301">
        <f t="shared" ref="AN16:AQ16" si="7">SUM(AN8:AN15)</f>
        <v>17</v>
      </c>
      <c r="AO16" s="301">
        <f t="shared" si="7"/>
        <v>7</v>
      </c>
      <c r="AP16" s="301">
        <f t="shared" si="7"/>
        <v>0</v>
      </c>
      <c r="AQ16" s="301">
        <f t="shared" si="7"/>
        <v>19</v>
      </c>
    </row>
    <row r="17" spans="1:43" ht="19.5" x14ac:dyDescent="0.3">
      <c r="A17" s="197"/>
      <c r="B17" s="121"/>
      <c r="C17" s="122"/>
      <c r="D17" s="122"/>
      <c r="E17" s="122"/>
      <c r="F17" s="122"/>
      <c r="G17" s="122"/>
      <c r="H17" s="121"/>
      <c r="I17" s="122"/>
      <c r="J17" s="122"/>
      <c r="K17" s="122"/>
      <c r="L17" s="122"/>
      <c r="M17" s="122"/>
      <c r="N17" s="121"/>
      <c r="O17" s="122"/>
      <c r="P17" s="122"/>
      <c r="Q17" s="122"/>
      <c r="R17" s="122"/>
      <c r="S17" s="122"/>
      <c r="X17" s="289"/>
    </row>
    <row r="18" spans="1:43" ht="56.25" customHeight="1" x14ac:dyDescent="0.2">
      <c r="A18" s="348" t="s">
        <v>93</v>
      </c>
      <c r="B18" s="348"/>
      <c r="C18" s="348"/>
      <c r="D18" s="348"/>
      <c r="E18" s="348"/>
      <c r="F18" s="348"/>
      <c r="G18" s="348"/>
      <c r="H18" s="348"/>
      <c r="I18" s="348"/>
      <c r="J18" s="348"/>
      <c r="K18" s="348"/>
      <c r="L18" s="348"/>
      <c r="M18" s="348"/>
      <c r="N18" s="348"/>
      <c r="O18" s="348"/>
      <c r="P18" s="348"/>
      <c r="Q18" s="348"/>
      <c r="R18" s="348"/>
      <c r="S18" s="348"/>
      <c r="T18" s="348"/>
      <c r="U18" s="348"/>
      <c r="X18" s="348" t="s">
        <v>93</v>
      </c>
      <c r="Y18" s="348"/>
      <c r="Z18" s="348"/>
      <c r="AA18" s="348"/>
      <c r="AB18" s="348"/>
      <c r="AC18" s="348"/>
      <c r="AD18" s="348"/>
      <c r="AE18" s="348"/>
      <c r="AF18" s="348"/>
      <c r="AG18" s="348"/>
      <c r="AH18" s="348"/>
      <c r="AI18" s="348"/>
      <c r="AJ18" s="348"/>
      <c r="AK18" s="348"/>
      <c r="AL18" s="348"/>
      <c r="AM18" s="348"/>
      <c r="AN18" s="348"/>
      <c r="AO18" s="348"/>
      <c r="AP18" s="348"/>
      <c r="AQ18" s="348"/>
    </row>
    <row r="19" spans="1:43" ht="18.75" hidden="1" x14ac:dyDescent="0.3">
      <c r="A19" s="228"/>
      <c r="B19" s="228">
        <v>2018</v>
      </c>
      <c r="C19" s="286" t="s">
        <v>321</v>
      </c>
      <c r="D19" s="228">
        <v>2019</v>
      </c>
      <c r="E19">
        <v>2020</v>
      </c>
      <c r="F19" t="s">
        <v>306</v>
      </c>
      <c r="G19">
        <v>2021</v>
      </c>
      <c r="J19" s="241" t="s">
        <v>9</v>
      </c>
      <c r="K19" s="232">
        <v>2018</v>
      </c>
      <c r="L19" s="287">
        <v>2019</v>
      </c>
      <c r="M19" s="232">
        <v>2019</v>
      </c>
      <c r="N19" s="232">
        <v>2020</v>
      </c>
      <c r="O19" s="232">
        <v>2021</v>
      </c>
      <c r="P19" s="232">
        <v>2022</v>
      </c>
      <c r="Q19" s="245">
        <v>2023</v>
      </c>
      <c r="R19" s="245">
        <v>2024</v>
      </c>
    </row>
    <row r="20" spans="1:43" ht="36.6" hidden="1" customHeight="1" x14ac:dyDescent="0.2">
      <c r="A20" s="196" t="s">
        <v>289</v>
      </c>
      <c r="B20" s="230">
        <v>3374</v>
      </c>
      <c r="C20" s="284">
        <f>B20/13079*100</f>
        <v>25.797079287407293</v>
      </c>
      <c r="D20" s="231">
        <f>48*C20%+B20</f>
        <v>3386.3825980579554</v>
      </c>
      <c r="E20" s="237">
        <f>12969*C20%</f>
        <v>3345.6232127838516</v>
      </c>
      <c r="F20">
        <v>80</v>
      </c>
      <c r="G20" s="239">
        <f>E20-F20</f>
        <v>3265.6232127838516</v>
      </c>
      <c r="H20" s="236"/>
      <c r="J20" s="196" t="s">
        <v>308</v>
      </c>
      <c r="K20" s="242">
        <v>714.91470127380796</v>
      </c>
      <c r="L20" s="285">
        <f>K20/K28*100</f>
        <v>16.038467779558228</v>
      </c>
      <c r="M20" s="45">
        <f>4614.897*L20%</f>
        <v>740.15876840479939</v>
      </c>
      <c r="N20" s="45">
        <f>4809.94*L20%</f>
        <v>771.44067711608307</v>
      </c>
      <c r="O20" s="45">
        <f>4847.207*L20%</f>
        <v>777.41773290349113</v>
      </c>
      <c r="P20" s="45">
        <f>4984.12*L20%</f>
        <v>799.37648029451759</v>
      </c>
      <c r="Q20" s="45">
        <f>5090.52*L20%</f>
        <v>816.44141001196772</v>
      </c>
      <c r="R20" s="45">
        <f>5203.9*L20%</f>
        <v>834.62582478043066</v>
      </c>
    </row>
    <row r="21" spans="1:43" ht="31.5" hidden="1" x14ac:dyDescent="0.2">
      <c r="A21" s="196" t="s">
        <v>290</v>
      </c>
      <c r="B21" s="230">
        <v>8653</v>
      </c>
      <c r="C21" s="284">
        <f t="shared" ref="C21:C27" si="8">B21/13079*100</f>
        <v>66.1594923159263</v>
      </c>
      <c r="D21" s="231">
        <f>48*C21%+B21</f>
        <v>8684.7565563116441</v>
      </c>
      <c r="E21" s="237">
        <f t="shared" ref="E21:E27" si="9">12969*C21%</f>
        <v>8580.2245584524826</v>
      </c>
      <c r="F21">
        <v>105</v>
      </c>
      <c r="G21" s="239">
        <f t="shared" ref="G21:G27" si="10">E21-F21</f>
        <v>8475.2245584524826</v>
      </c>
      <c r="H21" s="236"/>
      <c r="J21" s="196" t="s">
        <v>309</v>
      </c>
      <c r="K21" s="242">
        <v>3181.8038427212427</v>
      </c>
      <c r="L21" s="285">
        <f>K21/K28*100</f>
        <v>71.380905052635839</v>
      </c>
      <c r="M21" s="45">
        <f t="shared" ref="M21:M27" si="11">4614.897*L21%</f>
        <v>3294.1552458469396</v>
      </c>
      <c r="N21" s="45">
        <f t="shared" ref="N21:N28" si="12">4809.94*L21%</f>
        <v>3433.3787044887517</v>
      </c>
      <c r="O21" s="45">
        <f t="shared" ref="O21:O27" si="13">4847.207*L21%</f>
        <v>3459.9802263747183</v>
      </c>
      <c r="P21" s="45">
        <f t="shared" ref="P21:P27" si="14">4984.12*L21%</f>
        <v>3557.709964909433</v>
      </c>
      <c r="Q21" s="45">
        <f t="shared" ref="Q21:Q27" si="15">5090.52*L21%</f>
        <v>3633.6592478854382</v>
      </c>
      <c r="R21" s="45">
        <f t="shared" ref="R21:R27" si="16">5203.9*L21%</f>
        <v>3714.5909180341159</v>
      </c>
    </row>
    <row r="22" spans="1:43" ht="31.5" hidden="1" x14ac:dyDescent="0.2">
      <c r="A22" s="196" t="s">
        <v>291</v>
      </c>
      <c r="B22" s="230">
        <v>768</v>
      </c>
      <c r="C22" s="284">
        <f t="shared" si="8"/>
        <v>5.8720085633458217</v>
      </c>
      <c r="D22" s="231">
        <f>48*C22%+B22</f>
        <v>770.81856411040599</v>
      </c>
      <c r="E22" s="237">
        <f t="shared" si="9"/>
        <v>761.54079058031959</v>
      </c>
      <c r="F22">
        <v>15</v>
      </c>
      <c r="G22" s="239">
        <f t="shared" si="10"/>
        <v>746.54079058031959</v>
      </c>
      <c r="H22" s="236"/>
      <c r="J22" s="196" t="s">
        <v>310</v>
      </c>
      <c r="K22" s="242">
        <v>390.49801221070561</v>
      </c>
      <c r="L22" s="285">
        <f>K22/K28*100</f>
        <v>8.7604713900326558</v>
      </c>
      <c r="M22" s="45">
        <f t="shared" si="11"/>
        <v>404.28673136447537</v>
      </c>
      <c r="N22" s="45">
        <f t="shared" si="12"/>
        <v>421.37341757773675</v>
      </c>
      <c r="O22" s="45">
        <f t="shared" si="13"/>
        <v>424.63818245066028</v>
      </c>
      <c r="P22" s="45">
        <f t="shared" si="14"/>
        <v>436.63240664489564</v>
      </c>
      <c r="Q22" s="45">
        <f t="shared" si="15"/>
        <v>445.95354820389042</v>
      </c>
      <c r="R22" s="45">
        <f t="shared" si="16"/>
        <v>455.88617066590939</v>
      </c>
    </row>
    <row r="23" spans="1:43" ht="31.5" hidden="1" x14ac:dyDescent="0.2">
      <c r="A23" s="196" t="s">
        <v>292</v>
      </c>
      <c r="B23" s="230">
        <v>129</v>
      </c>
      <c r="C23" s="284">
        <f t="shared" si="8"/>
        <v>0.98631393837449355</v>
      </c>
      <c r="D23" s="231">
        <f t="shared" ref="D23:D27" si="17">48*C23%+B23</f>
        <v>129.47343069041975</v>
      </c>
      <c r="E23" s="237">
        <f t="shared" si="9"/>
        <v>127.91505466778807</v>
      </c>
      <c r="F23">
        <v>1</v>
      </c>
      <c r="G23" s="239">
        <f t="shared" si="10"/>
        <v>126.91505466778807</v>
      </c>
      <c r="H23" s="236"/>
      <c r="J23" s="196" t="s">
        <v>311</v>
      </c>
      <c r="K23" s="242">
        <v>41.353097553802151</v>
      </c>
      <c r="L23" s="285">
        <f>K23/K28*100</f>
        <v>0.92771951887385651</v>
      </c>
      <c r="M23" s="45">
        <f t="shared" si="11"/>
        <v>42.813300244924037</v>
      </c>
      <c r="N23" s="45">
        <f t="shared" si="12"/>
        <v>44.622752226121172</v>
      </c>
      <c r="O23" s="45">
        <f t="shared" si="13"/>
        <v>44.968485459219899</v>
      </c>
      <c r="P23" s="45">
        <f t="shared" si="14"/>
        <v>46.238654084095657</v>
      </c>
      <c r="Q23" s="45">
        <f t="shared" si="15"/>
        <v>47.225747652177446</v>
      </c>
      <c r="R23" s="45">
        <f t="shared" si="16"/>
        <v>48.277596042676613</v>
      </c>
    </row>
    <row r="24" spans="1:43" ht="31.5" hidden="1" x14ac:dyDescent="0.2">
      <c r="A24" s="196" t="s">
        <v>293</v>
      </c>
      <c r="B24" s="230">
        <v>37</v>
      </c>
      <c r="C24" s="284">
        <f t="shared" si="8"/>
        <v>0.28289624589035861</v>
      </c>
      <c r="D24" s="231">
        <f t="shared" si="17"/>
        <v>37.135790198027372</v>
      </c>
      <c r="E24" s="237">
        <f t="shared" si="9"/>
        <v>36.688814129520608</v>
      </c>
      <c r="F24">
        <v>8</v>
      </c>
      <c r="G24" s="239">
        <f t="shared" si="10"/>
        <v>28.688814129520608</v>
      </c>
      <c r="H24" s="236"/>
      <c r="J24" s="196" t="s">
        <v>312</v>
      </c>
      <c r="K24" s="242">
        <v>81.609925508610345</v>
      </c>
      <c r="L24" s="285">
        <f>K24/K28*100</f>
        <v>1.8308452161213764</v>
      </c>
      <c r="M24" s="45">
        <f t="shared" si="11"/>
        <v>84.491620953428921</v>
      </c>
      <c r="N24" s="45">
        <f t="shared" si="12"/>
        <v>88.062556388308522</v>
      </c>
      <c r="O24" s="45">
        <f t="shared" si="13"/>
        <v>88.744857475000487</v>
      </c>
      <c r="P24" s="45">
        <f t="shared" si="14"/>
        <v>91.251522585748745</v>
      </c>
      <c r="Q24" s="45">
        <f t="shared" si="15"/>
        <v>93.199541895701898</v>
      </c>
      <c r="R24" s="45">
        <f t="shared" si="16"/>
        <v>95.275354201740299</v>
      </c>
    </row>
    <row r="25" spans="1:43" ht="31.5" hidden="1" x14ac:dyDescent="0.2">
      <c r="A25" s="196" t="s">
        <v>294</v>
      </c>
      <c r="B25" s="234">
        <v>80</v>
      </c>
      <c r="C25" s="284">
        <f t="shared" si="8"/>
        <v>0.6116675586818564</v>
      </c>
      <c r="D25" s="231">
        <f t="shared" si="17"/>
        <v>80.293600428167295</v>
      </c>
      <c r="E25" s="237">
        <f t="shared" si="9"/>
        <v>79.32716568544997</v>
      </c>
      <c r="F25">
        <v>5</v>
      </c>
      <c r="G25" s="239">
        <f t="shared" si="10"/>
        <v>74.32716568544997</v>
      </c>
      <c r="H25" s="236"/>
      <c r="J25" s="196" t="s">
        <v>313</v>
      </c>
      <c r="K25" s="242">
        <v>19.800663272550249</v>
      </c>
      <c r="L25" s="285">
        <f>K25/K28*100</f>
        <v>0.4442100565911441</v>
      </c>
      <c r="M25" s="45">
        <f t="shared" si="11"/>
        <v>20.499836575323013</v>
      </c>
      <c r="N25" s="45">
        <f t="shared" si="12"/>
        <v>21.366237196000075</v>
      </c>
      <c r="O25" s="45">
        <f t="shared" si="13"/>
        <v>21.531780957789898</v>
      </c>
      <c r="P25" s="45">
        <f t="shared" si="14"/>
        <v>22.139962272570532</v>
      </c>
      <c r="Q25" s="45">
        <f t="shared" si="15"/>
        <v>22.61260177278351</v>
      </c>
      <c r="R25" s="45">
        <f t="shared" si="16"/>
        <v>23.116247134946548</v>
      </c>
    </row>
    <row r="26" spans="1:43" ht="31.5" hidden="1" x14ac:dyDescent="0.2">
      <c r="A26" s="196" t="s">
        <v>295</v>
      </c>
      <c r="B26" s="230">
        <v>33</v>
      </c>
      <c r="C26" s="284">
        <f t="shared" si="8"/>
        <v>0.25231286795626579</v>
      </c>
      <c r="D26" s="231">
        <f t="shared" si="17"/>
        <v>33.121110176619005</v>
      </c>
      <c r="E26" s="237">
        <f t="shared" si="9"/>
        <v>32.722455845248106</v>
      </c>
      <c r="F26">
        <v>5</v>
      </c>
      <c r="G26" s="239">
        <f t="shared" si="10"/>
        <v>27.722455845248106</v>
      </c>
      <c r="H26" s="236"/>
      <c r="J26" s="196" t="s">
        <v>314</v>
      </c>
      <c r="K26" s="242">
        <v>9.595184428307741</v>
      </c>
      <c r="L26" s="285">
        <f>K26/K28*100</f>
        <v>0.21525932536865375</v>
      </c>
      <c r="M26" s="45">
        <f t="shared" si="11"/>
        <v>9.93399614865824</v>
      </c>
      <c r="N26" s="45">
        <f t="shared" si="12"/>
        <v>10.353844394637022</v>
      </c>
      <c r="O26" s="45">
        <f t="shared" si="13"/>
        <v>10.434065087422161</v>
      </c>
      <c r="P26" s="45">
        <f t="shared" si="14"/>
        <v>10.728783087564144</v>
      </c>
      <c r="Q26" s="45">
        <f t="shared" si="15"/>
        <v>10.957819009756394</v>
      </c>
      <c r="R26" s="45">
        <f t="shared" si="16"/>
        <v>11.201880032859371</v>
      </c>
    </row>
    <row r="27" spans="1:43" ht="31.5" hidden="1" x14ac:dyDescent="0.2">
      <c r="A27" s="196" t="s">
        <v>296</v>
      </c>
      <c r="B27" s="234">
        <v>5</v>
      </c>
      <c r="C27" s="284">
        <f t="shared" si="8"/>
        <v>3.8229222417616025E-2</v>
      </c>
      <c r="D27" s="231">
        <f t="shared" si="17"/>
        <v>5.0183500267604559</v>
      </c>
      <c r="E27" s="237">
        <f t="shared" si="9"/>
        <v>4.9579478553406231</v>
      </c>
      <c r="F27">
        <v>1</v>
      </c>
      <c r="G27" s="239">
        <f t="shared" si="10"/>
        <v>3.9579478553406231</v>
      </c>
      <c r="H27" s="236"/>
      <c r="J27" s="196" t="s">
        <v>315</v>
      </c>
      <c r="K27" s="242">
        <v>17.924573030973001</v>
      </c>
      <c r="L27" s="285">
        <f>K27/K28*100</f>
        <v>0.40212166081823891</v>
      </c>
      <c r="M27" s="45">
        <f t="shared" si="11"/>
        <v>18.557500461451085</v>
      </c>
      <c r="N27" s="45">
        <f t="shared" si="12"/>
        <v>19.341810612360799</v>
      </c>
      <c r="O27" s="45">
        <f t="shared" si="13"/>
        <v>19.491669291697935</v>
      </c>
      <c r="P27" s="45">
        <f t="shared" si="14"/>
        <v>20.042226121174011</v>
      </c>
      <c r="Q27" s="45">
        <f t="shared" si="15"/>
        <v>20.470083568284618</v>
      </c>
      <c r="R27" s="45">
        <f t="shared" si="16"/>
        <v>20.926009107320333</v>
      </c>
      <c r="AB27" s="355"/>
      <c r="AC27" s="356"/>
    </row>
    <row r="28" spans="1:43" ht="18.75" hidden="1" x14ac:dyDescent="0.2">
      <c r="A28" s="45"/>
      <c r="B28" s="45">
        <f>SUM(B20:B27)</f>
        <v>13079</v>
      </c>
      <c r="C28" s="285">
        <f>SUM(C20:C27)</f>
        <v>100</v>
      </c>
      <c r="D28" s="233">
        <f>SUM(D20:D27)</f>
        <v>13127</v>
      </c>
      <c r="E28" s="237">
        <f>SUM(E20:E27)</f>
        <v>12969.000000000004</v>
      </c>
      <c r="F28">
        <v>220</v>
      </c>
      <c r="G28" s="239">
        <f>E28-F28</f>
        <v>12749.000000000004</v>
      </c>
      <c r="J28" s="45"/>
      <c r="K28" s="243">
        <f>SUM(K20:K27)</f>
        <v>4457.5</v>
      </c>
      <c r="L28" s="45">
        <f>SUM(L20:L27)</f>
        <v>100</v>
      </c>
      <c r="M28" s="45">
        <f>SUM(M20:M27)</f>
        <v>4614.896999999999</v>
      </c>
      <c r="N28" s="45">
        <f t="shared" si="12"/>
        <v>4809.9399999999996</v>
      </c>
      <c r="O28" s="45">
        <f>SUM(O20:O27)</f>
        <v>4847.2070000000003</v>
      </c>
      <c r="P28" s="246">
        <f>SUM(P20:P27)</f>
        <v>4984.119999999999</v>
      </c>
      <c r="Q28" s="246">
        <f>SUM(Q20:Q27)</f>
        <v>5090.5199999999995</v>
      </c>
      <c r="R28" s="246">
        <f>SUM(R20:R27)</f>
        <v>5203.8999999999987</v>
      </c>
    </row>
    <row r="29" spans="1:43" ht="18.75" hidden="1" x14ac:dyDescent="0.2">
      <c r="A29" s="45"/>
      <c r="B29" s="45"/>
      <c r="C29" s="45"/>
      <c r="D29" s="45"/>
      <c r="E29" s="45"/>
      <c r="F29" s="45" t="s">
        <v>307</v>
      </c>
      <c r="G29" s="45"/>
      <c r="H29" s="45"/>
      <c r="I29" s="45"/>
      <c r="J29" s="244" t="s">
        <v>316</v>
      </c>
      <c r="K29" s="45"/>
      <c r="L29" s="45"/>
      <c r="M29" s="45"/>
      <c r="N29" s="45">
        <v>4809.9380000000001</v>
      </c>
      <c r="O29" s="198">
        <v>4847.2070000000003</v>
      </c>
      <c r="P29" s="198">
        <v>4984.12</v>
      </c>
      <c r="Q29" s="198">
        <v>5090.5200000000004</v>
      </c>
      <c r="R29" s="198">
        <v>5203.8599999999997</v>
      </c>
    </row>
    <row r="30" spans="1:43" hidden="1" x14ac:dyDescent="0.2">
      <c r="F30" s="238">
        <v>1.0999999999999999E-2</v>
      </c>
      <c r="G30" s="238"/>
      <c r="H30" s="238"/>
    </row>
    <row r="31" spans="1:43" hidden="1" x14ac:dyDescent="0.2"/>
    <row r="32" spans="1:43" hidden="1" x14ac:dyDescent="0.2"/>
  </sheetData>
  <mergeCells count="53">
    <mergeCell ref="AH6:AH7"/>
    <mergeCell ref="AJ5:AK5"/>
    <mergeCell ref="AM5:AM7"/>
    <mergeCell ref="AN5:AN7"/>
    <mergeCell ref="AO5:AO7"/>
    <mergeCell ref="E1:G1"/>
    <mergeCell ref="E6:G6"/>
    <mergeCell ref="D6:D7"/>
    <mergeCell ref="C6:C7"/>
    <mergeCell ref="V4:W5"/>
    <mergeCell ref="V6:V7"/>
    <mergeCell ref="W6:W7"/>
    <mergeCell ref="A2:W2"/>
    <mergeCell ref="N4:S5"/>
    <mergeCell ref="Q6:S6"/>
    <mergeCell ref="N6:N7"/>
    <mergeCell ref="O6:O7"/>
    <mergeCell ref="P6:P7"/>
    <mergeCell ref="H6:H7"/>
    <mergeCell ref="I6:I7"/>
    <mergeCell ref="J6:J7"/>
    <mergeCell ref="AB27:AC27"/>
    <mergeCell ref="B4:G5"/>
    <mergeCell ref="T4:U5"/>
    <mergeCell ref="AF5:AG5"/>
    <mergeCell ref="AJ6:AJ7"/>
    <mergeCell ref="Y4:AE4"/>
    <mergeCell ref="Y5:Y7"/>
    <mergeCell ref="X4:X7"/>
    <mergeCell ref="AA5:AA7"/>
    <mergeCell ref="AB5:AB7"/>
    <mergeCell ref="AC5:AC7"/>
    <mergeCell ref="AD5:AD7"/>
    <mergeCell ref="AE5:AE7"/>
    <mergeCell ref="H4:M5"/>
    <mergeCell ref="AF4:AK4"/>
    <mergeCell ref="AF6:AF7"/>
    <mergeCell ref="A18:U18"/>
    <mergeCell ref="AP5:AP7"/>
    <mergeCell ref="AQ5:AQ7"/>
    <mergeCell ref="U6:U7"/>
    <mergeCell ref="T6:T7"/>
    <mergeCell ref="AI6:AI7"/>
    <mergeCell ref="X18:AQ18"/>
    <mergeCell ref="AH5:AI5"/>
    <mergeCell ref="K6:M6"/>
    <mergeCell ref="A4:A7"/>
    <mergeCell ref="B6:B7"/>
    <mergeCell ref="Z5:Z7"/>
    <mergeCell ref="AK6:AK7"/>
    <mergeCell ref="AM4:AQ4"/>
    <mergeCell ref="AL4:AL7"/>
    <mergeCell ref="AG6:AG7"/>
  </mergeCells>
  <phoneticPr fontId="14" type="noConversion"/>
  <printOptions horizontalCentered="1"/>
  <pageMargins left="0" right="0" top="0.39370078740157483" bottom="0.19685039370078741" header="0" footer="0"/>
  <pageSetup paperSize="9" scale="48" orientation="landscape" horizontalDpi="300" verticalDpi="300" r:id="rId1"/>
  <headerFooter alignWithMargins="0"/>
  <colBreaks count="1" manualBreakCount="1">
    <brk id="23" max="17" man="1"/>
  </colBreaks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4</vt:i4>
      </vt:variant>
    </vt:vector>
  </HeadingPairs>
  <TitlesOfParts>
    <vt:vector size="7" baseType="lpstr">
      <vt:lpstr>Прогноз 2022-2024 </vt:lpstr>
      <vt:lpstr>Прил 3 (расчет ИФО) (2)</vt:lpstr>
      <vt:lpstr>Прил 5 Прогноз по поселениям</vt:lpstr>
      <vt:lpstr>'Прил 5 Прогноз по поселениям'!Заголовки_для_печати</vt:lpstr>
      <vt:lpstr>'Прогноз 2022-2024 '!Заголовки_для_печати</vt:lpstr>
      <vt:lpstr>'Прил 5 Прогноз по поселениям'!Область_печати</vt:lpstr>
      <vt:lpstr>'Прогноз 2022-2024 '!Область_печати</vt:lpstr>
    </vt:vector>
  </TitlesOfParts>
  <Company>AoIR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Салдушева Анастасия Валерьевна</cp:lastModifiedBy>
  <cp:lastPrinted>2021-07-23T03:40:35Z</cp:lastPrinted>
  <dcterms:created xsi:type="dcterms:W3CDTF">2006-03-06T08:26:24Z</dcterms:created>
  <dcterms:modified xsi:type="dcterms:W3CDTF">2022-01-31T03:53:42Z</dcterms:modified>
</cp:coreProperties>
</file>