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90" yWindow="-75" windowWidth="18465" windowHeight="12540" tabRatio="752"/>
  </bookViews>
  <sheets>
    <sheet name="Прогноз 2022-2024 " sheetId="1" r:id="rId1"/>
    <sheet name="Прил 1 (расчет ИФО) (2)" sheetId="9" r:id="rId2"/>
    <sheet name="Прил 2 Прогноз по поселениям" sheetId="8" r:id="rId3"/>
    <sheet name="Прил 3 Инвестпроекты" sheetId="12" r:id="rId4"/>
  </sheets>
  <definedNames>
    <definedName name="_xlnm.Print_Titles" localSheetId="2">'Прил 2 Прогноз по поселениям'!$A:$A,'Прил 2 Прогноз по поселениям'!$4:$7</definedName>
    <definedName name="_xlnm.Print_Titles" localSheetId="0">'Прогноз 2022-2024 '!$5:$7</definedName>
    <definedName name="_xlnm.Print_Area" localSheetId="2">'Прил 2 Прогноз по поселениям'!$A$1:$AQ$18</definedName>
    <definedName name="_xlnm.Print_Area" localSheetId="0">'Прогноз 2022-2024 '!$A$1:$I$170</definedName>
  </definedNames>
  <calcPr calcId="145621" concurrentCalc="0"/>
</workbook>
</file>

<file path=xl/calcChain.xml><?xml version="1.0" encoding="utf-8"?>
<calcChain xmlns="http://schemas.openxmlformats.org/spreadsheetml/2006/main">
  <c r="H159" i="1" l="1"/>
  <c r="I159" i="1"/>
  <c r="F159" i="1"/>
  <c r="F148" i="1"/>
  <c r="H148" i="1"/>
  <c r="E148" i="1"/>
  <c r="P29" i="8"/>
  <c r="G20" i="1"/>
  <c r="H20" i="1"/>
  <c r="E20" i="1"/>
  <c r="F20" i="1"/>
  <c r="F56" i="1"/>
  <c r="G107" i="9"/>
  <c r="H107" i="9"/>
  <c r="I107" i="9"/>
  <c r="G108" i="9"/>
  <c r="H108" i="9"/>
  <c r="I108" i="9"/>
  <c r="G109" i="9"/>
  <c r="H109" i="9"/>
  <c r="I109" i="9"/>
  <c r="I106" i="9"/>
  <c r="H106" i="9"/>
  <c r="G106" i="9"/>
  <c r="I81" i="9"/>
  <c r="H81" i="9"/>
  <c r="H77" i="9"/>
  <c r="G77" i="9"/>
  <c r="I77" i="9"/>
  <c r="G78" i="9"/>
  <c r="H78" i="9"/>
  <c r="I78" i="9"/>
  <c r="G79" i="9"/>
  <c r="H79" i="9"/>
  <c r="I79" i="9"/>
  <c r="G80" i="9"/>
  <c r="H80" i="9"/>
  <c r="I80" i="9"/>
  <c r="G81" i="9"/>
  <c r="I76" i="9"/>
  <c r="H76" i="9"/>
  <c r="G76" i="9"/>
  <c r="I17" i="9"/>
  <c r="H17" i="9"/>
  <c r="G17" i="9"/>
  <c r="G12" i="9"/>
  <c r="H12" i="9"/>
  <c r="I12" i="9"/>
  <c r="G13" i="9"/>
  <c r="H13" i="9"/>
  <c r="I13" i="9"/>
  <c r="G14" i="9"/>
  <c r="H14" i="9"/>
  <c r="I14" i="9"/>
  <c r="G15" i="9"/>
  <c r="H15" i="9"/>
  <c r="I15" i="9"/>
  <c r="G16" i="9"/>
  <c r="H16" i="9"/>
  <c r="I16" i="9"/>
  <c r="I11" i="9"/>
  <c r="H11" i="9"/>
  <c r="G11" i="9"/>
  <c r="E42" i="1"/>
  <c r="E39" i="1"/>
  <c r="E36" i="1"/>
  <c r="E33" i="1"/>
  <c r="AE16" i="8"/>
  <c r="X16" i="8"/>
  <c r="AL9" i="8"/>
  <c r="AL8" i="8"/>
  <c r="AL15" i="8"/>
  <c r="AL14" i="8"/>
  <c r="AL13" i="8"/>
  <c r="AL12" i="8"/>
  <c r="AL11" i="8"/>
  <c r="AL10" i="8"/>
  <c r="AG16" i="8"/>
  <c r="AH16" i="8"/>
  <c r="AI16" i="8"/>
  <c r="AJ16" i="8"/>
  <c r="AK16" i="8"/>
  <c r="AF16" i="8"/>
  <c r="AK9" i="8"/>
  <c r="AK10" i="8"/>
  <c r="AK11" i="8"/>
  <c r="AK12" i="8"/>
  <c r="AK13" i="8"/>
  <c r="AK14" i="8"/>
  <c r="AK15" i="8"/>
  <c r="AK8" i="8"/>
  <c r="X8" i="8"/>
  <c r="X10" i="8"/>
  <c r="H195" i="12"/>
  <c r="I195" i="12"/>
  <c r="J195" i="12"/>
  <c r="K195" i="12"/>
  <c r="L195" i="12"/>
  <c r="M195" i="12"/>
  <c r="N195" i="12"/>
  <c r="G195" i="12"/>
  <c r="N184" i="12"/>
  <c r="G189" i="12"/>
  <c r="G184" i="12"/>
  <c r="G179" i="12"/>
  <c r="H194" i="12"/>
  <c r="I194" i="12"/>
  <c r="J194" i="12"/>
  <c r="K194" i="12"/>
  <c r="L194" i="12"/>
  <c r="M194" i="12"/>
  <c r="N194" i="12"/>
  <c r="G194" i="12"/>
  <c r="G105" i="12"/>
  <c r="G97" i="12"/>
  <c r="G92" i="12"/>
  <c r="G76" i="12"/>
  <c r="G66" i="12"/>
  <c r="G56" i="12"/>
  <c r="G23" i="12"/>
  <c r="D153" i="1"/>
  <c r="E153" i="1"/>
  <c r="D151" i="1"/>
  <c r="C151" i="1"/>
  <c r="D150" i="1"/>
  <c r="G147" i="1"/>
  <c r="G150" i="1"/>
  <c r="F147" i="1"/>
  <c r="F150" i="1"/>
  <c r="D147" i="1"/>
  <c r="G128" i="1"/>
  <c r="H128" i="1"/>
  <c r="I128" i="1"/>
  <c r="G132" i="1"/>
  <c r="H132" i="1"/>
  <c r="I132" i="1"/>
  <c r="G136" i="1"/>
  <c r="H136" i="1"/>
  <c r="I136" i="1"/>
  <c r="G124" i="1"/>
  <c r="G151" i="1"/>
  <c r="F131" i="1"/>
  <c r="E124" i="1"/>
  <c r="F124" i="1"/>
  <c r="F151" i="1"/>
  <c r="E128" i="1"/>
  <c r="F128" i="1"/>
  <c r="E129" i="1"/>
  <c r="G129" i="1"/>
  <c r="H129" i="1"/>
  <c r="I129" i="1"/>
  <c r="E130" i="1"/>
  <c r="F130" i="1"/>
  <c r="E131" i="1"/>
  <c r="G131" i="1"/>
  <c r="H131" i="1"/>
  <c r="I131" i="1"/>
  <c r="E132" i="1"/>
  <c r="F132" i="1"/>
  <c r="E133" i="1"/>
  <c r="G133" i="1"/>
  <c r="H133" i="1"/>
  <c r="I133" i="1"/>
  <c r="E136" i="1"/>
  <c r="F136" i="1"/>
  <c r="E137" i="1"/>
  <c r="G137" i="1"/>
  <c r="H137" i="1"/>
  <c r="I137" i="1"/>
  <c r="E138" i="1"/>
  <c r="F138" i="1"/>
  <c r="D135" i="1"/>
  <c r="E135" i="1"/>
  <c r="D134" i="1"/>
  <c r="E134" i="1"/>
  <c r="D139" i="1"/>
  <c r="E139" i="1"/>
  <c r="H16" i="8"/>
  <c r="G97" i="1"/>
  <c r="G96" i="1"/>
  <c r="G95" i="1"/>
  <c r="G94" i="1"/>
  <c r="G92" i="1"/>
  <c r="G90" i="1"/>
  <c r="G89" i="1"/>
  <c r="G87" i="1"/>
  <c r="G83" i="1"/>
  <c r="F83" i="1"/>
  <c r="G81" i="1"/>
  <c r="F81" i="1"/>
  <c r="E81" i="1"/>
  <c r="G20" i="8"/>
  <c r="G28" i="8"/>
  <c r="D98" i="1"/>
  <c r="F88" i="1"/>
  <c r="E88" i="1"/>
  <c r="F91" i="1"/>
  <c r="E91" i="1"/>
  <c r="F93" i="1"/>
  <c r="E93" i="1"/>
  <c r="D16" i="8"/>
  <c r="G24" i="1"/>
  <c r="C155" i="1"/>
  <c r="Q29" i="8"/>
  <c r="G148" i="1"/>
  <c r="G122" i="1"/>
  <c r="R29" i="8"/>
  <c r="I148" i="1"/>
  <c r="D148" i="1"/>
  <c r="D122" i="1"/>
  <c r="D165" i="1"/>
  <c r="E165" i="1"/>
  <c r="F165" i="1"/>
  <c r="G165" i="1"/>
  <c r="H165" i="1"/>
  <c r="I165" i="1"/>
  <c r="D163" i="1"/>
  <c r="E163" i="1"/>
  <c r="F163" i="1"/>
  <c r="G163" i="1"/>
  <c r="H163" i="1"/>
  <c r="I163" i="1"/>
  <c r="E162" i="1"/>
  <c r="F162" i="1"/>
  <c r="G162" i="1"/>
  <c r="H162" i="1"/>
  <c r="I162" i="1"/>
  <c r="F80" i="1"/>
  <c r="I88" i="1"/>
  <c r="H88" i="1"/>
  <c r="H91" i="1"/>
  <c r="I91" i="1"/>
  <c r="H93" i="1"/>
  <c r="I93" i="1"/>
  <c r="D105" i="1"/>
  <c r="E105" i="1"/>
  <c r="F105" i="1"/>
  <c r="G105" i="1"/>
  <c r="H105" i="1"/>
  <c r="I105" i="1"/>
  <c r="C105" i="1"/>
  <c r="E118" i="1"/>
  <c r="E119" i="1"/>
  <c r="E106" i="1"/>
  <c r="E150" i="1"/>
  <c r="E108" i="1"/>
  <c r="E151" i="1"/>
  <c r="E111" i="1"/>
  <c r="E113" i="1"/>
  <c r="E114" i="1"/>
  <c r="E115" i="1"/>
  <c r="G80" i="1"/>
  <c r="H80" i="1"/>
  <c r="I80" i="1"/>
  <c r="F53" i="1"/>
  <c r="G53" i="1"/>
  <c r="H53" i="1"/>
  <c r="I53" i="1"/>
  <c r="E54" i="1"/>
  <c r="F54" i="1"/>
  <c r="G54" i="1"/>
  <c r="H54" i="1"/>
  <c r="I54" i="1"/>
  <c r="E53" i="1"/>
  <c r="F51" i="1"/>
  <c r="G51" i="1"/>
  <c r="H51" i="1"/>
  <c r="I51" i="1"/>
  <c r="F50" i="1"/>
  <c r="G50" i="1"/>
  <c r="H50" i="1"/>
  <c r="I50" i="1"/>
  <c r="E56" i="1"/>
  <c r="E29" i="1"/>
  <c r="D29" i="1"/>
  <c r="D44" i="1"/>
  <c r="D41" i="1"/>
  <c r="E78" i="1"/>
  <c r="G78" i="1"/>
  <c r="H78" i="1"/>
  <c r="I78" i="1"/>
  <c r="H66" i="1"/>
  <c r="I66" i="1"/>
  <c r="E61" i="1"/>
  <c r="F61" i="1"/>
  <c r="G61" i="1"/>
  <c r="E65" i="1"/>
  <c r="F65" i="1"/>
  <c r="G65" i="1"/>
  <c r="H65" i="1"/>
  <c r="I65" i="1"/>
  <c r="E66" i="1"/>
  <c r="F66" i="1"/>
  <c r="E67" i="1"/>
  <c r="F67" i="1"/>
  <c r="G67" i="1"/>
  <c r="H67" i="1"/>
  <c r="I67" i="1"/>
  <c r="E68" i="1"/>
  <c r="F68" i="1"/>
  <c r="G68" i="1"/>
  <c r="H68" i="1"/>
  <c r="I68" i="1"/>
  <c r="E69" i="1"/>
  <c r="F69" i="1"/>
  <c r="G69" i="1"/>
  <c r="H69" i="1"/>
  <c r="I69" i="1"/>
  <c r="E70" i="1"/>
  <c r="F70" i="1"/>
  <c r="G70" i="1"/>
  <c r="H70" i="1"/>
  <c r="I70" i="1"/>
  <c r="E71" i="1"/>
  <c r="F71" i="1"/>
  <c r="G71" i="1"/>
  <c r="H71" i="1"/>
  <c r="I71" i="1"/>
  <c r="E72" i="1"/>
  <c r="F72" i="1"/>
  <c r="G72" i="1"/>
  <c r="H72" i="1"/>
  <c r="I72" i="1"/>
  <c r="E75" i="1"/>
  <c r="F75" i="1"/>
  <c r="G75" i="1"/>
  <c r="H75" i="1"/>
  <c r="I75" i="1"/>
  <c r="E59" i="1"/>
  <c r="F59" i="1"/>
  <c r="D56" i="1"/>
  <c r="D49" i="1"/>
  <c r="E22" i="1"/>
  <c r="G22" i="1"/>
  <c r="H22" i="1"/>
  <c r="I22" i="1"/>
  <c r="E21" i="1"/>
  <c r="F21" i="1"/>
  <c r="G56" i="1"/>
  <c r="G19" i="1"/>
  <c r="G49" i="1"/>
  <c r="E19" i="1"/>
  <c r="E49" i="1"/>
  <c r="G18" i="1"/>
  <c r="H18" i="1"/>
  <c r="F18" i="1"/>
  <c r="F44" i="1"/>
  <c r="G17" i="1"/>
  <c r="G41" i="1"/>
  <c r="G15" i="1"/>
  <c r="G35" i="1"/>
  <c r="G11" i="1"/>
  <c r="H17" i="1"/>
  <c r="I17" i="1"/>
  <c r="I41" i="1"/>
  <c r="G16" i="1"/>
  <c r="H16" i="1"/>
  <c r="E18" i="1"/>
  <c r="E44" i="1"/>
  <c r="E17" i="1"/>
  <c r="F17" i="1"/>
  <c r="F41" i="1"/>
  <c r="E16" i="1"/>
  <c r="E38" i="1"/>
  <c r="H11" i="1"/>
  <c r="I11" i="1"/>
  <c r="H15" i="1"/>
  <c r="H35" i="1"/>
  <c r="I15" i="1"/>
  <c r="I35" i="1"/>
  <c r="E15" i="1"/>
  <c r="E35" i="1"/>
  <c r="E11" i="1"/>
  <c r="G16" i="8"/>
  <c r="I9" i="1"/>
  <c r="I74" i="1"/>
  <c r="U16" i="8"/>
  <c r="C20" i="8"/>
  <c r="F20" i="8"/>
  <c r="O8" i="8"/>
  <c r="C16" i="8"/>
  <c r="H28" i="8"/>
  <c r="H20" i="8"/>
  <c r="P8" i="8"/>
  <c r="E20" i="8"/>
  <c r="D20" i="8"/>
  <c r="T6" i="8"/>
  <c r="Q8" i="8"/>
  <c r="R8" i="8"/>
  <c r="S8" i="8"/>
  <c r="L11" i="9"/>
  <c r="Q11" i="9"/>
  <c r="P11" i="9"/>
  <c r="O11" i="9"/>
  <c r="N11" i="9"/>
  <c r="M11" i="9"/>
  <c r="S11" i="9"/>
  <c r="AQ16" i="8"/>
  <c r="AP16" i="8"/>
  <c r="AO16" i="8"/>
  <c r="AN16" i="8"/>
  <c r="AM16" i="8"/>
  <c r="AL16" i="8"/>
  <c r="AA16" i="8"/>
  <c r="T16" i="8"/>
  <c r="D73" i="1"/>
  <c r="E73" i="1"/>
  <c r="F11" i="1"/>
  <c r="D38" i="1"/>
  <c r="D35" i="1"/>
  <c r="D32" i="1"/>
  <c r="D28" i="1"/>
  <c r="B16" i="8"/>
  <c r="D9" i="1"/>
  <c r="D23" i="1"/>
  <c r="E9" i="1"/>
  <c r="F9" i="1"/>
  <c r="F74" i="1"/>
  <c r="E16" i="8"/>
  <c r="G9" i="1"/>
  <c r="G74" i="1"/>
  <c r="F16" i="8"/>
  <c r="H9" i="1"/>
  <c r="H74" i="1"/>
  <c r="Q106" i="9"/>
  <c r="K28" i="8"/>
  <c r="L25" i="8"/>
  <c r="L27" i="8"/>
  <c r="L26" i="8"/>
  <c r="L24" i="8"/>
  <c r="L23" i="8"/>
  <c r="L22" i="8"/>
  <c r="L20" i="8"/>
  <c r="N20" i="8"/>
  <c r="H8" i="8"/>
  <c r="M20" i="8"/>
  <c r="N25" i="8"/>
  <c r="H13" i="8"/>
  <c r="N22" i="8"/>
  <c r="H10" i="8"/>
  <c r="N26" i="8"/>
  <c r="H14" i="8"/>
  <c r="N23" i="8"/>
  <c r="H11" i="8"/>
  <c r="N27" i="8"/>
  <c r="H15" i="8"/>
  <c r="N24" i="8"/>
  <c r="H12" i="8"/>
  <c r="L21" i="8"/>
  <c r="M27" i="8"/>
  <c r="M23" i="8"/>
  <c r="M25" i="8"/>
  <c r="M22" i="8"/>
  <c r="M24" i="8"/>
  <c r="M26" i="8"/>
  <c r="N21" i="8"/>
  <c r="H9" i="8"/>
  <c r="M21" i="8"/>
  <c r="M28" i="8"/>
  <c r="L28" i="8"/>
  <c r="B28" i="8"/>
  <c r="C27" i="8"/>
  <c r="C26" i="8"/>
  <c r="C25" i="8"/>
  <c r="C24" i="8"/>
  <c r="C23" i="8"/>
  <c r="C22" i="8"/>
  <c r="C21" i="8"/>
  <c r="X9" i="8"/>
  <c r="X11" i="8"/>
  <c r="X12" i="8"/>
  <c r="X13" i="8"/>
  <c r="X14" i="8"/>
  <c r="X15" i="8"/>
  <c r="D22" i="8"/>
  <c r="F22" i="8"/>
  <c r="E23" i="8"/>
  <c r="F23" i="8"/>
  <c r="E24" i="8"/>
  <c r="F24" i="8"/>
  <c r="E26" i="8"/>
  <c r="F26" i="8"/>
  <c r="D27" i="8"/>
  <c r="F27" i="8"/>
  <c r="F21" i="8"/>
  <c r="E21" i="8"/>
  <c r="D25" i="8"/>
  <c r="F25" i="8"/>
  <c r="N28" i="8"/>
  <c r="D21" i="8"/>
  <c r="E27" i="8"/>
  <c r="E25" i="8"/>
  <c r="E22" i="8"/>
  <c r="D23" i="8"/>
  <c r="D24" i="8"/>
  <c r="D26" i="8"/>
  <c r="C28" i="8"/>
  <c r="H26" i="8"/>
  <c r="P14" i="8"/>
  <c r="Q14" i="8"/>
  <c r="R14" i="8"/>
  <c r="S14" i="8"/>
  <c r="O14" i="8"/>
  <c r="O11" i="8"/>
  <c r="H23" i="8"/>
  <c r="P11" i="8"/>
  <c r="Q11" i="8"/>
  <c r="R11" i="8"/>
  <c r="S11" i="8"/>
  <c r="H25" i="8"/>
  <c r="P13" i="8"/>
  <c r="Q13" i="8"/>
  <c r="R13" i="8"/>
  <c r="S13" i="8"/>
  <c r="O13" i="8"/>
  <c r="O12" i="8"/>
  <c r="H24" i="8"/>
  <c r="P12" i="8"/>
  <c r="Q12" i="8"/>
  <c r="R12" i="8"/>
  <c r="S12" i="8"/>
  <c r="O10" i="8"/>
  <c r="H22" i="8"/>
  <c r="P10" i="8"/>
  <c r="Q10" i="8"/>
  <c r="R10" i="8"/>
  <c r="S10" i="8"/>
  <c r="H21" i="8"/>
  <c r="P9" i="8"/>
  <c r="O9" i="8"/>
  <c r="O15" i="8"/>
  <c r="O16" i="8"/>
  <c r="H27" i="8"/>
  <c r="P15" i="8"/>
  <c r="Q15" i="8"/>
  <c r="R15" i="8"/>
  <c r="S15" i="8"/>
  <c r="E28" i="8"/>
  <c r="D28" i="8"/>
  <c r="Q9" i="8"/>
  <c r="P16" i="8"/>
  <c r="Q109" i="9"/>
  <c r="P109" i="9"/>
  <c r="O109" i="9"/>
  <c r="N109" i="9"/>
  <c r="M109" i="9"/>
  <c r="L109" i="9"/>
  <c r="K109" i="9"/>
  <c r="Q108" i="9"/>
  <c r="P108" i="9"/>
  <c r="O108" i="9"/>
  <c r="N108" i="9"/>
  <c r="S108" i="9"/>
  <c r="M108" i="9"/>
  <c r="L108" i="9"/>
  <c r="K108" i="9"/>
  <c r="Q107" i="9"/>
  <c r="P107" i="9"/>
  <c r="O107" i="9"/>
  <c r="N107" i="9"/>
  <c r="M107" i="9"/>
  <c r="R107" i="9"/>
  <c r="L107" i="9"/>
  <c r="K107" i="9"/>
  <c r="P106" i="9"/>
  <c r="V106" i="9"/>
  <c r="O106" i="9"/>
  <c r="N106" i="9"/>
  <c r="M106" i="9"/>
  <c r="L106" i="9"/>
  <c r="L110" i="9"/>
  <c r="K106" i="9"/>
  <c r="K110" i="9"/>
  <c r="Q102" i="9"/>
  <c r="P102" i="9"/>
  <c r="O102" i="9"/>
  <c r="N102" i="9"/>
  <c r="M102" i="9"/>
  <c r="L102" i="9"/>
  <c r="K102" i="9"/>
  <c r="K103" i="9"/>
  <c r="P101" i="9"/>
  <c r="O101" i="9"/>
  <c r="N101" i="9"/>
  <c r="M101" i="9"/>
  <c r="L101" i="9"/>
  <c r="K101" i="9"/>
  <c r="P100" i="9"/>
  <c r="O100" i="9"/>
  <c r="N100" i="9"/>
  <c r="M100" i="9"/>
  <c r="L100" i="9"/>
  <c r="K100" i="9"/>
  <c r="P99" i="9"/>
  <c r="O99" i="9"/>
  <c r="N99" i="9"/>
  <c r="M99" i="9"/>
  <c r="L99" i="9"/>
  <c r="K99" i="9"/>
  <c r="P98" i="9"/>
  <c r="O98" i="9"/>
  <c r="N98" i="9"/>
  <c r="M98" i="9"/>
  <c r="L98" i="9"/>
  <c r="K98" i="9"/>
  <c r="P95" i="9"/>
  <c r="V95" i="9"/>
  <c r="O95" i="9"/>
  <c r="T95" i="9"/>
  <c r="N95" i="9"/>
  <c r="S95" i="9"/>
  <c r="M95" i="9"/>
  <c r="R95" i="9"/>
  <c r="L95" i="9"/>
  <c r="K95" i="9"/>
  <c r="P94" i="9"/>
  <c r="U94" i="9"/>
  <c r="O94" i="9"/>
  <c r="T94" i="9"/>
  <c r="N94" i="9"/>
  <c r="S94" i="9"/>
  <c r="M94" i="9"/>
  <c r="R94" i="9"/>
  <c r="L94" i="9"/>
  <c r="K94" i="9"/>
  <c r="P93" i="9"/>
  <c r="V93" i="9"/>
  <c r="O93" i="9"/>
  <c r="T93" i="9"/>
  <c r="N93" i="9"/>
  <c r="S93" i="9"/>
  <c r="M93" i="9"/>
  <c r="R93" i="9"/>
  <c r="L93" i="9"/>
  <c r="K93" i="9"/>
  <c r="P92" i="9"/>
  <c r="V92" i="9"/>
  <c r="O92" i="9"/>
  <c r="T92" i="9"/>
  <c r="N92" i="9"/>
  <c r="S92" i="9"/>
  <c r="M92" i="9"/>
  <c r="R92" i="9"/>
  <c r="L92" i="9"/>
  <c r="K92" i="9"/>
  <c r="P91" i="9"/>
  <c r="V91" i="9"/>
  <c r="O91" i="9"/>
  <c r="T91" i="9"/>
  <c r="N91" i="9"/>
  <c r="S91" i="9"/>
  <c r="M91" i="9"/>
  <c r="R91" i="9"/>
  <c r="L91" i="9"/>
  <c r="K91" i="9"/>
  <c r="P90" i="9"/>
  <c r="U90" i="9"/>
  <c r="O90" i="9"/>
  <c r="T90" i="9"/>
  <c r="N90" i="9"/>
  <c r="S90" i="9"/>
  <c r="M90" i="9"/>
  <c r="R90" i="9"/>
  <c r="L90" i="9"/>
  <c r="K90" i="9"/>
  <c r="P89" i="9"/>
  <c r="V89" i="9"/>
  <c r="O89" i="9"/>
  <c r="T89" i="9"/>
  <c r="N89" i="9"/>
  <c r="S89" i="9"/>
  <c r="M89" i="9"/>
  <c r="R89" i="9"/>
  <c r="L89" i="9"/>
  <c r="K89" i="9"/>
  <c r="V88" i="9"/>
  <c r="P88" i="9"/>
  <c r="U88" i="9"/>
  <c r="O88" i="9"/>
  <c r="T88" i="9"/>
  <c r="N88" i="9"/>
  <c r="S88" i="9"/>
  <c r="M88" i="9"/>
  <c r="R88" i="9"/>
  <c r="L88" i="9"/>
  <c r="K88" i="9"/>
  <c r="P87" i="9"/>
  <c r="V87" i="9"/>
  <c r="O87" i="9"/>
  <c r="T87" i="9"/>
  <c r="N87" i="9"/>
  <c r="S87" i="9"/>
  <c r="M87" i="9"/>
  <c r="R87" i="9"/>
  <c r="L87" i="9"/>
  <c r="K87" i="9"/>
  <c r="P86" i="9"/>
  <c r="U86" i="9"/>
  <c r="O86" i="9"/>
  <c r="T86" i="9"/>
  <c r="N86" i="9"/>
  <c r="S86" i="9"/>
  <c r="M86" i="9"/>
  <c r="R86" i="9"/>
  <c r="L86" i="9"/>
  <c r="K86" i="9"/>
  <c r="P85" i="9"/>
  <c r="V85" i="9"/>
  <c r="O85" i="9"/>
  <c r="T85" i="9"/>
  <c r="N85" i="9"/>
  <c r="S85" i="9"/>
  <c r="M85" i="9"/>
  <c r="R85" i="9"/>
  <c r="L85" i="9"/>
  <c r="K85" i="9"/>
  <c r="V84" i="9"/>
  <c r="P84" i="9"/>
  <c r="U84" i="9"/>
  <c r="O84" i="9"/>
  <c r="T84" i="9"/>
  <c r="N84" i="9"/>
  <c r="S84" i="9"/>
  <c r="M84" i="9"/>
  <c r="R84" i="9"/>
  <c r="L84" i="9"/>
  <c r="K84" i="9"/>
  <c r="P83" i="9"/>
  <c r="V83" i="9"/>
  <c r="O83" i="9"/>
  <c r="T83" i="9"/>
  <c r="N83" i="9"/>
  <c r="S83" i="9"/>
  <c r="M83" i="9"/>
  <c r="R83" i="9"/>
  <c r="L83" i="9"/>
  <c r="K83" i="9"/>
  <c r="P82" i="9"/>
  <c r="U82" i="9"/>
  <c r="O82" i="9"/>
  <c r="T82" i="9"/>
  <c r="N82" i="9"/>
  <c r="S82" i="9"/>
  <c r="M82" i="9"/>
  <c r="R82" i="9"/>
  <c r="L82" i="9"/>
  <c r="K82" i="9"/>
  <c r="Q81" i="9"/>
  <c r="P81" i="9"/>
  <c r="O81" i="9"/>
  <c r="N81" i="9"/>
  <c r="M81" i="9"/>
  <c r="L81" i="9"/>
  <c r="K81" i="9"/>
  <c r="V80" i="9"/>
  <c r="U80" i="9"/>
  <c r="T80" i="9"/>
  <c r="S80" i="9"/>
  <c r="R80" i="9"/>
  <c r="V79" i="9"/>
  <c r="U79" i="9"/>
  <c r="T79" i="9"/>
  <c r="S79" i="9"/>
  <c r="R79" i="9"/>
  <c r="V78" i="9"/>
  <c r="U78" i="9"/>
  <c r="T78" i="9"/>
  <c r="S78" i="9"/>
  <c r="R78" i="9"/>
  <c r="Q77" i="9"/>
  <c r="P77" i="9"/>
  <c r="O77" i="9"/>
  <c r="N77" i="9"/>
  <c r="M77" i="9"/>
  <c r="L77" i="9"/>
  <c r="K77" i="9"/>
  <c r="Q76" i="9"/>
  <c r="P76" i="9"/>
  <c r="O76" i="9"/>
  <c r="N76" i="9"/>
  <c r="M76" i="9"/>
  <c r="L76" i="9"/>
  <c r="K76" i="9"/>
  <c r="K96" i="9"/>
  <c r="V19" i="9"/>
  <c r="U19" i="9"/>
  <c r="T19" i="9"/>
  <c r="S19" i="9"/>
  <c r="R19" i="9"/>
  <c r="V18" i="9"/>
  <c r="U18" i="9"/>
  <c r="T18" i="9"/>
  <c r="S18" i="9"/>
  <c r="R18" i="9"/>
  <c r="Q17" i="9"/>
  <c r="P17" i="9"/>
  <c r="O17" i="9"/>
  <c r="N17" i="9"/>
  <c r="M17" i="9"/>
  <c r="L17" i="9"/>
  <c r="C17" i="9"/>
  <c r="K17" i="9"/>
  <c r="V16" i="9"/>
  <c r="O16" i="9"/>
  <c r="U16" i="9"/>
  <c r="N16" i="9"/>
  <c r="M16" i="9"/>
  <c r="R16" i="9"/>
  <c r="K16" i="9"/>
  <c r="V15" i="9"/>
  <c r="O15" i="9"/>
  <c r="N15" i="9"/>
  <c r="M15" i="9"/>
  <c r="R15" i="9"/>
  <c r="K15" i="9"/>
  <c r="V14" i="9"/>
  <c r="O14" i="9"/>
  <c r="U14" i="9"/>
  <c r="N14" i="9"/>
  <c r="S14" i="9"/>
  <c r="M14" i="9"/>
  <c r="R14" i="9"/>
  <c r="K14" i="9"/>
  <c r="V13" i="9"/>
  <c r="O13" i="9"/>
  <c r="U13" i="9"/>
  <c r="N13" i="9"/>
  <c r="M13" i="9"/>
  <c r="R13" i="9"/>
  <c r="K13" i="9"/>
  <c r="V12" i="9"/>
  <c r="O12" i="9"/>
  <c r="U12" i="9"/>
  <c r="N12" i="9"/>
  <c r="M12" i="9"/>
  <c r="R12" i="9"/>
  <c r="K12" i="9"/>
  <c r="P20" i="9"/>
  <c r="O20" i="9"/>
  <c r="K11" i="9"/>
  <c r="K20" i="9"/>
  <c r="R9" i="8"/>
  <c r="Q16" i="8"/>
  <c r="S15" i="9"/>
  <c r="T109" i="9"/>
  <c r="O96" i="9"/>
  <c r="Q96" i="9"/>
  <c r="Q103" i="9"/>
  <c r="N96" i="9"/>
  <c r="N103" i="9"/>
  <c r="Q20" i="9"/>
  <c r="V20" i="9"/>
  <c r="I36" i="1"/>
  <c r="N20" i="9"/>
  <c r="T20" i="9"/>
  <c r="F36" i="1"/>
  <c r="M20" i="9"/>
  <c r="V109" i="9"/>
  <c r="V108" i="9"/>
  <c r="V107" i="9"/>
  <c r="U107" i="9"/>
  <c r="U106" i="9"/>
  <c r="U109" i="9"/>
  <c r="U108" i="9"/>
  <c r="T108" i="9"/>
  <c r="N110" i="9"/>
  <c r="T107" i="9"/>
  <c r="T106" i="9"/>
  <c r="S109" i="9"/>
  <c r="S107" i="9"/>
  <c r="V102" i="9"/>
  <c r="U102" i="9"/>
  <c r="T102" i="9"/>
  <c r="R102" i="9"/>
  <c r="P96" i="9"/>
  <c r="P103" i="9"/>
  <c r="V77" i="9"/>
  <c r="V81" i="9"/>
  <c r="U81" i="9"/>
  <c r="U77" i="9"/>
  <c r="T81" i="9"/>
  <c r="T77" i="9"/>
  <c r="M96" i="9"/>
  <c r="S77" i="9"/>
  <c r="S81" i="9"/>
  <c r="R81" i="9"/>
  <c r="T17" i="9"/>
  <c r="S13" i="9"/>
  <c r="S16" i="9"/>
  <c r="V17" i="9"/>
  <c r="S17" i="9"/>
  <c r="S12" i="9"/>
  <c r="T15" i="9"/>
  <c r="U17" i="9"/>
  <c r="R106" i="9"/>
  <c r="R109" i="9"/>
  <c r="R108" i="9"/>
  <c r="L96" i="9"/>
  <c r="R77" i="9"/>
  <c r="L20" i="9"/>
  <c r="R17" i="9"/>
  <c r="K111" i="9"/>
  <c r="U20" i="9"/>
  <c r="G36" i="1"/>
  <c r="H36" i="1"/>
  <c r="T96" i="9"/>
  <c r="U11" i="9"/>
  <c r="T12" i="9"/>
  <c r="U15" i="9"/>
  <c r="T16" i="9"/>
  <c r="T76" i="9"/>
  <c r="V82" i="9"/>
  <c r="U85" i="9"/>
  <c r="V86" i="9"/>
  <c r="U89" i="9"/>
  <c r="V90" i="9"/>
  <c r="U93" i="9"/>
  <c r="V94" i="9"/>
  <c r="S102" i="9"/>
  <c r="O103" i="9"/>
  <c r="S106" i="9"/>
  <c r="O110" i="9"/>
  <c r="R11" i="9"/>
  <c r="V11" i="9"/>
  <c r="T13" i="9"/>
  <c r="U76" i="9"/>
  <c r="U92" i="9"/>
  <c r="P110" i="9"/>
  <c r="T14" i="9"/>
  <c r="R76" i="9"/>
  <c r="V76" i="9"/>
  <c r="U83" i="9"/>
  <c r="U87" i="9"/>
  <c r="U91" i="9"/>
  <c r="U95" i="9"/>
  <c r="M110" i="9"/>
  <c r="R110" i="9"/>
  <c r="Q110" i="9"/>
  <c r="V110" i="9"/>
  <c r="I42" i="1"/>
  <c r="T11" i="9"/>
  <c r="S76" i="9"/>
  <c r="S9" i="8"/>
  <c r="S16" i="8"/>
  <c r="R16" i="8"/>
  <c r="S20" i="9"/>
  <c r="U96" i="9"/>
  <c r="R20" i="9"/>
  <c r="T110" i="9"/>
  <c r="F42" i="1"/>
  <c r="V96" i="9"/>
  <c r="S96" i="9"/>
  <c r="U103" i="9"/>
  <c r="H39" i="1"/>
  <c r="M103" i="9"/>
  <c r="M111" i="9"/>
  <c r="U110" i="9"/>
  <c r="G42" i="1"/>
  <c r="H42" i="1"/>
  <c r="R96" i="9"/>
  <c r="L103" i="9"/>
  <c r="T103" i="9"/>
  <c r="F39" i="1"/>
  <c r="G39" i="1"/>
  <c r="S110" i="9"/>
  <c r="N111" i="9"/>
  <c r="O111" i="9"/>
  <c r="V103" i="9"/>
  <c r="I39" i="1"/>
  <c r="P111" i="9"/>
  <c r="Q111" i="9"/>
  <c r="L111" i="9"/>
  <c r="R103" i="9"/>
  <c r="S103" i="9"/>
  <c r="S111" i="9"/>
  <c r="R111" i="9"/>
  <c r="U111" i="9"/>
  <c r="H33" i="1"/>
  <c r="H29" i="1"/>
  <c r="V111" i="9"/>
  <c r="I33" i="1"/>
  <c r="I29" i="1"/>
  <c r="T111" i="9"/>
  <c r="F33" i="1"/>
  <c r="F29" i="1"/>
  <c r="N178" i="12"/>
  <c r="H178" i="12"/>
  <c r="G178" i="12"/>
  <c r="N157" i="12"/>
  <c r="G157" i="12"/>
  <c r="H157" i="12"/>
  <c r="U6" i="8"/>
  <c r="D116" i="1"/>
  <c r="E116" i="1"/>
  <c r="D120" i="1"/>
  <c r="E120" i="1"/>
  <c r="D117" i="1"/>
  <c r="F117" i="1"/>
  <c r="G117" i="1"/>
  <c r="H117" i="1"/>
  <c r="I117" i="1"/>
  <c r="F92" i="1"/>
  <c r="E92" i="1"/>
  <c r="F97" i="1"/>
  <c r="E97" i="1"/>
  <c r="F95" i="1"/>
  <c r="E95" i="1"/>
  <c r="H95" i="1"/>
  <c r="I95" i="1"/>
  <c r="F90" i="1"/>
  <c r="H90" i="1"/>
  <c r="I90" i="1"/>
  <c r="F87" i="1"/>
  <c r="E87" i="1"/>
  <c r="F96" i="1"/>
  <c r="E96" i="1"/>
  <c r="F94" i="1"/>
  <c r="E94" i="1"/>
  <c r="H94" i="1"/>
  <c r="I94" i="1"/>
  <c r="F89" i="1"/>
  <c r="E89" i="1"/>
  <c r="H89" i="1"/>
  <c r="I89" i="1"/>
  <c r="G98" i="1"/>
  <c r="E74" i="1"/>
  <c r="E23" i="1"/>
  <c r="E32" i="1"/>
  <c r="E28" i="1"/>
  <c r="F134" i="1"/>
  <c r="G134" i="1"/>
  <c r="H134" i="1"/>
  <c r="I134" i="1"/>
  <c r="I18" i="1"/>
  <c r="I44" i="1"/>
  <c r="H44" i="1"/>
  <c r="F73" i="1"/>
  <c r="H59" i="1"/>
  <c r="E83" i="1"/>
  <c r="E98" i="1"/>
  <c r="F98" i="1"/>
  <c r="G135" i="1"/>
  <c r="H135" i="1"/>
  <c r="I135" i="1"/>
  <c r="F135" i="1"/>
  <c r="H56" i="1"/>
  <c r="I20" i="1"/>
  <c r="I56" i="1"/>
  <c r="H38" i="1"/>
  <c r="H32" i="1"/>
  <c r="H28" i="1"/>
  <c r="I16" i="1"/>
  <c r="I38" i="1"/>
  <c r="I32" i="1"/>
  <c r="I28" i="1"/>
  <c r="H61" i="1"/>
  <c r="I61" i="1"/>
  <c r="G73" i="1"/>
  <c r="H81" i="1"/>
  <c r="H122" i="1"/>
  <c r="G139" i="1"/>
  <c r="H139" i="1"/>
  <c r="I139" i="1"/>
  <c r="F139" i="1"/>
  <c r="G153" i="1"/>
  <c r="G155" i="1"/>
  <c r="F153" i="1"/>
  <c r="E155" i="1"/>
  <c r="H87" i="1"/>
  <c r="I87" i="1"/>
  <c r="H92" i="1"/>
  <c r="I92" i="1"/>
  <c r="F120" i="1"/>
  <c r="G120" i="1"/>
  <c r="H120" i="1"/>
  <c r="I120" i="1"/>
  <c r="G33" i="1"/>
  <c r="G29" i="1"/>
  <c r="F16" i="1"/>
  <c r="F38" i="1"/>
  <c r="G21" i="1"/>
  <c r="F22" i="1"/>
  <c r="E41" i="1"/>
  <c r="E90" i="1"/>
  <c r="F137" i="1"/>
  <c r="F133" i="1"/>
  <c r="F129" i="1"/>
  <c r="G138" i="1"/>
  <c r="H138" i="1"/>
  <c r="I138" i="1"/>
  <c r="G130" i="1"/>
  <c r="H130" i="1"/>
  <c r="I130" i="1"/>
  <c r="H147" i="1"/>
  <c r="H96" i="1"/>
  <c r="I96" i="1"/>
  <c r="H97" i="1"/>
  <c r="I97" i="1"/>
  <c r="F116" i="1"/>
  <c r="G116" i="1"/>
  <c r="H116" i="1"/>
  <c r="I116" i="1"/>
  <c r="F15" i="1"/>
  <c r="F19" i="1"/>
  <c r="F49" i="1"/>
  <c r="G38" i="1"/>
  <c r="G32" i="1"/>
  <c r="G28" i="1"/>
  <c r="H41" i="1"/>
  <c r="G44" i="1"/>
  <c r="E117" i="1"/>
  <c r="D155" i="1"/>
  <c r="F78" i="1"/>
  <c r="O29" i="8"/>
  <c r="D74" i="1"/>
  <c r="H19" i="1"/>
  <c r="H124" i="1"/>
  <c r="S29" i="8"/>
  <c r="R21" i="8"/>
  <c r="L9" i="8"/>
  <c r="L16" i="8"/>
  <c r="R20" i="8"/>
  <c r="L8" i="8"/>
  <c r="R27" i="8"/>
  <c r="L15" i="8"/>
  <c r="R25" i="8"/>
  <c r="L13" i="8"/>
  <c r="R28" i="8"/>
  <c r="R24" i="8"/>
  <c r="L12" i="8"/>
  <c r="R26" i="8"/>
  <c r="L14" i="8"/>
  <c r="R22" i="8"/>
  <c r="L10" i="8"/>
  <c r="R23" i="8"/>
  <c r="L11" i="8"/>
  <c r="Q28" i="8"/>
  <c r="K16" i="8"/>
  <c r="Q26" i="8"/>
  <c r="K14" i="8"/>
  <c r="Q22" i="8"/>
  <c r="K10" i="8"/>
  <c r="Q27" i="8"/>
  <c r="K15" i="8"/>
  <c r="Q23" i="8"/>
  <c r="K11" i="8"/>
  <c r="Q25" i="8"/>
  <c r="K13" i="8"/>
  <c r="Q24" i="8"/>
  <c r="K12" i="8"/>
  <c r="Q20" i="8"/>
  <c r="K8" i="8"/>
  <c r="Q21" i="8"/>
  <c r="K9" i="8"/>
  <c r="F122" i="1"/>
  <c r="P27" i="8"/>
  <c r="J15" i="8"/>
  <c r="P22" i="8"/>
  <c r="J10" i="8"/>
  <c r="P25" i="8"/>
  <c r="J13" i="8"/>
  <c r="P28" i="8"/>
  <c r="P20" i="8"/>
  <c r="J8" i="8"/>
  <c r="J16" i="8"/>
  <c r="P26" i="8"/>
  <c r="J14" i="8"/>
  <c r="P23" i="8"/>
  <c r="J11" i="8"/>
  <c r="P24" i="8"/>
  <c r="J12" i="8"/>
  <c r="P21" i="8"/>
  <c r="J9" i="8"/>
  <c r="E122" i="1"/>
  <c r="H151" i="1"/>
  <c r="I124" i="1"/>
  <c r="I151" i="1"/>
  <c r="O22" i="8"/>
  <c r="I10" i="8"/>
  <c r="O23" i="8"/>
  <c r="I11" i="8"/>
  <c r="O21" i="8"/>
  <c r="I9" i="8"/>
  <c r="I16" i="8"/>
  <c r="O26" i="8"/>
  <c r="I14" i="8"/>
  <c r="O27" i="8"/>
  <c r="I15" i="8"/>
  <c r="O25" i="8"/>
  <c r="I13" i="8"/>
  <c r="O24" i="8"/>
  <c r="I12" i="8"/>
  <c r="O20" i="8"/>
  <c r="I8" i="8"/>
  <c r="O28" i="8"/>
  <c r="F23" i="1"/>
  <c r="F35" i="1"/>
  <c r="F32" i="1"/>
  <c r="F28" i="1"/>
  <c r="H49" i="1"/>
  <c r="I19" i="1"/>
  <c r="I49" i="1"/>
  <c r="I147" i="1"/>
  <c r="I150" i="1"/>
  <c r="H150" i="1"/>
  <c r="H153" i="1"/>
  <c r="F155" i="1"/>
  <c r="H23" i="1"/>
  <c r="I81" i="1"/>
  <c r="H98" i="1"/>
  <c r="H21" i="1"/>
  <c r="I21" i="1"/>
  <c r="G23" i="1"/>
  <c r="I59" i="1"/>
  <c r="I73" i="1"/>
  <c r="H73" i="1"/>
  <c r="M16" i="8"/>
  <c r="S22" i="8"/>
  <c r="M10" i="8"/>
  <c r="S27" i="8"/>
  <c r="M15" i="8"/>
  <c r="S23" i="8"/>
  <c r="M11" i="8"/>
  <c r="S25" i="8"/>
  <c r="M13" i="8"/>
  <c r="S24" i="8"/>
  <c r="M12" i="8"/>
  <c r="S20" i="8"/>
  <c r="M8" i="8"/>
  <c r="S21" i="8"/>
  <c r="M9" i="8"/>
  <c r="S28" i="8"/>
  <c r="S26" i="8"/>
  <c r="M14" i="8"/>
  <c r="H155" i="1"/>
  <c r="I153" i="1"/>
  <c r="I155" i="1"/>
  <c r="I98" i="1"/>
  <c r="I122" i="1"/>
  <c r="I23" i="1"/>
</calcChain>
</file>

<file path=xl/comments1.xml><?xml version="1.0" encoding="utf-8"?>
<comments xmlns="http://schemas.openxmlformats.org/spreadsheetml/2006/main">
  <authors>
    <author>Салдушева Анастасия Валерьевна</author>
    <author>Орлова Юлия Анатольевна</author>
  </authors>
  <commentList>
    <comment ref="F15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т.к. нет сценарных по оквэд, берем 104% это темп роста добычи по отгрузки кр и ср добычиза 2021 год</t>
        </r>
      </text>
    </comment>
    <comment ref="G15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темп - отгр кр и ср добача за 1 кв 2022
</t>
        </r>
      </text>
    </comment>
    <comment ref="E18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здесь скорее всего в стат ликвидация бцбк</t>
        </r>
      </text>
    </comment>
    <comment ref="E50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2022 стат</t>
        </r>
      </text>
    </comment>
    <comment ref="E51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ка 2022 аналит</t>
        </r>
      </text>
    </comment>
    <comment ref="E53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2022 налит</t>
        </r>
      </text>
    </comment>
    <comment ref="E54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2022 аналит
</t>
        </r>
      </text>
    </comment>
    <comment ref="G80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*темп 2022/2021
</t>
        </r>
      </text>
    </comment>
    <comment ref="G81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
по ЦЗН разница безработных 2022/2021 в 10 чел</t>
        </r>
      </text>
    </comment>
    <comment ref="C106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спад на всю дельту</t>
        </r>
      </text>
    </comment>
    <comment ref="D13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2020*сценарную реал з/п за 2021</t>
        </r>
      </text>
    </comment>
    <comment ref="E147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мрот с 01.01.2022</t>
        </r>
      </text>
    </comment>
  </commentList>
</comments>
</file>

<file path=xl/comments2.xml><?xml version="1.0" encoding="utf-8"?>
<comments xmlns="http://schemas.openxmlformats.org/spreadsheetml/2006/main">
  <authors>
    <author>Салдушева Анастасия Валерьевна</author>
  </authors>
  <commentList>
    <comment ref="G11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* индекс промышленности сценарных по консервативному варианту</t>
        </r>
      </text>
    </comment>
  </commentList>
</comments>
</file>

<file path=xl/comments3.xml><?xml version="1.0" encoding="utf-8"?>
<comments xmlns="http://schemas.openxmlformats.org/spreadsheetml/2006/main">
  <authors>
    <author>Орлова Юлия Анатольевна</author>
    <author>Салдушева Анастасия Валерьевна</author>
  </authors>
  <commentList>
    <comment ref="AD5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транспортировка и хранение + деят-ть в обл информации и связи</t>
        </r>
      </text>
    </comment>
    <comment ref="AG6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факт реестр на 01.07.21</t>
        </r>
      </text>
    </comment>
    <comment ref="Z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садоводств, остальные по реестру смсп 2020 фильтр по оквэд и ручной подсчет по населенным пунктам</t>
        </r>
      </text>
    </comment>
    <comment ref="AC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</t>
        </r>
      </text>
    </comment>
    <comment ref="AE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методом разницы с прошлогодним прогнозом и нынешней суммой по оквэд</t>
        </r>
      </text>
    </comment>
    <comment ref="AL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+муп кос бмо и муп газета</t>
        </r>
      </text>
    </comment>
    <comment ref="Z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 и отальные по реестру смсп за 2020 год</t>
        </r>
      </text>
    </comment>
    <comment ref="AA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лесхоз</t>
        </r>
      </text>
    </comment>
    <comment ref="AB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 +дорожник</t>
        </r>
      </text>
    </comment>
    <comment ref="AC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светофор,фикспрайс
</t>
        </r>
      </text>
    </comment>
    <comment ref="AD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смсп+статуссиб</t>
        </r>
      </text>
    </comment>
    <comment ref="AL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+мау сл море, мау цех и лагерь ++6 адм, кспк,дума,куми,ксп,кф+мбу благ
</t>
        </r>
      </text>
    </comment>
    <comment ref="AC10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 хлеб соль</t>
        </r>
      </text>
    </comment>
    <comment ref="Z12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3 садоводства и остальные по реестру смсп 2020
</t>
        </r>
      </text>
    </comment>
    <comment ref="X16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стат</t>
        </r>
      </text>
    </comment>
  </commentList>
</comments>
</file>

<file path=xl/sharedStrings.xml><?xml version="1.0" encoding="utf-8"?>
<sst xmlns="http://schemas.openxmlformats.org/spreadsheetml/2006/main" count="878" uniqueCount="452">
  <si>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</si>
  <si>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</si>
  <si>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</si>
  <si>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</si>
  <si>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</si>
  <si>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</si>
  <si>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</si>
  <si>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</si>
  <si>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</si>
  <si>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</si>
  <si>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</si>
  <si>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</si>
  <si>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</si>
  <si>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</si>
  <si>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</si>
  <si>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</si>
  <si>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</si>
  <si>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</si>
  <si>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</si>
  <si>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</si>
  <si>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</si>
  <si>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</si>
  <si>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</si>
  <si>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</si>
  <si>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</si>
  <si>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(органы местного самоуправления при необходимости дополняют номенклатуру продукции)</t>
  </si>
  <si>
    <t>Средняя цена за единицу продукции, тыс. рублей</t>
  </si>
  <si>
    <t>А</t>
  </si>
  <si>
    <t>ПРОМЫШЛЕННОЕ ПРОИЗВОДСТВО:</t>
  </si>
  <si>
    <t>тыс. м3</t>
  </si>
  <si>
    <t>т</t>
  </si>
  <si>
    <t>ИТОГО</t>
  </si>
  <si>
    <t>тыс. шт</t>
  </si>
  <si>
    <t>тыс.шт</t>
  </si>
  <si>
    <t>тыс.т</t>
  </si>
  <si>
    <t>зерно</t>
  </si>
  <si>
    <t>картофель</t>
  </si>
  <si>
    <t>овощи</t>
  </si>
  <si>
    <t>мясо</t>
  </si>
  <si>
    <t>молоко</t>
  </si>
  <si>
    <t>яйца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</si>
  <si>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</si>
  <si>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</si>
  <si>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</si>
  <si>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</si>
  <si>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</si>
  <si>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</si>
  <si>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</si>
  <si>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>ГВт.ч
 (млн.  Квт.ч.)</t>
  </si>
  <si>
    <t>1500*</t>
  </si>
  <si>
    <t>90,8*</t>
  </si>
  <si>
    <t>296,3*</t>
  </si>
  <si>
    <t>109,5*</t>
  </si>
  <si>
    <t>315,2*</t>
  </si>
  <si>
    <t>444*</t>
  </si>
  <si>
    <t>х</t>
  </si>
  <si>
    <t>Наименование элементарного вида деятельности,
 товара-представителя</t>
  </si>
  <si>
    <t>*) сопоставимая цена 1994 г. (рублей за единицу продукции)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</si>
  <si>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</si>
  <si>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***) В данной форме органы местного самоуправления показывают только ту продукцию, которая производится в муниципальном образовании, остальные наименования товаров удаляются. 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</si>
  <si>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</si>
  <si>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</si>
  <si>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</si>
  <si>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</si>
  <si>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</si>
  <si>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 xml:space="preserve">Расчет индексов производства продукции
по элементарному виду деятельности,  исходя из динамики по товарам-представителям
</t>
  </si>
  <si>
    <t>Произведено продукции в натуральном выражении</t>
  </si>
  <si>
    <t>№ п/п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</si>
  <si>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</si>
  <si>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</si>
  <si>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</si>
  <si>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</si>
  <si>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</si>
  <si>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</si>
  <si>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</si>
  <si>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</si>
  <si>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</si>
  <si>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</si>
  <si>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</si>
  <si>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</si>
  <si>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>Наименование проекта</t>
  </si>
  <si>
    <t>Инвестор</t>
  </si>
  <si>
    <t>Объем инвестиций, млн.руб.</t>
  </si>
  <si>
    <t>Выручка от реализации продукции, работ, услуг, млн.руб.</t>
  </si>
  <si>
    <t xml:space="preserve">Выпуск продукции в натуральном выражении
 (в соотв. ед.) 
</t>
  </si>
  <si>
    <t>Количество ежегодно создаваемых новых рабочих мест, ед.</t>
  </si>
  <si>
    <t>Наименование 
городского (сельского) поселения и населенного пункта на территории которого предполагается реализация инвестпроекта</t>
  </si>
  <si>
    <t>и т.д.</t>
  </si>
  <si>
    <t>продукция 
№ 1</t>
  </si>
  <si>
    <t>продукция 
№ 2</t>
  </si>
  <si>
    <t>продукция № 3</t>
  </si>
  <si>
    <t xml:space="preserve">Период реализации проекта </t>
  </si>
  <si>
    <t>Экономи-
ческий эффект (прибыль), млн. руб.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</si>
  <si>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</si>
  <si>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</si>
  <si>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</si>
  <si>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</si>
  <si>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</si>
  <si>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</si>
  <si>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</si>
  <si>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</si>
  <si>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</si>
  <si>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</si>
  <si>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</si>
  <si>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</si>
  <si>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</si>
  <si>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</si>
  <si>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</si>
  <si>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</si>
  <si>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</si>
  <si>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</si>
  <si>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</si>
  <si>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</si>
  <si>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</si>
  <si>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</si>
  <si>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</si>
  <si>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</si>
  <si>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</si>
  <si>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</si>
  <si>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ВСЕГО ПО ПОСЕЛЕНИЮ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</si>
  <si>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</si>
  <si>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</si>
  <si>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</si>
  <si>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</si>
  <si>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</si>
  <si>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</si>
  <si>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</si>
  <si>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</si>
  <si>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</si>
  <si>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</si>
  <si>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</si>
  <si>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</si>
  <si>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</si>
  <si>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</si>
  <si>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</si>
  <si>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</si>
  <si>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</si>
  <si>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</si>
  <si>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</si>
  <si>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</si>
  <si>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Прогноз индекса производства</t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</si>
  <si>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</si>
  <si>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</si>
  <si>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</si>
  <si>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</si>
  <si>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</si>
  <si>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</si>
  <si>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</si>
  <si>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</si>
  <si>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</si>
  <si>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</si>
  <si>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</si>
  <si>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</si>
  <si>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</si>
  <si>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</si>
  <si>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</si>
  <si>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</si>
  <si>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</si>
  <si>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</si>
  <si>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</si>
  <si>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</si>
  <si>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</si>
  <si>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</si>
  <si>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</si>
  <si>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</si>
  <si>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</si>
  <si>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</si>
  <si>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2020 г.</t>
  </si>
  <si>
    <t>Добыча прочих полезных ископаемых</t>
  </si>
  <si>
    <t>Гипс,тыс.т</t>
  </si>
  <si>
    <t xml:space="preserve"> Доломит некальцинированный, тыс.т</t>
  </si>
  <si>
    <t>Пески природные,Тыс. куб.м</t>
  </si>
  <si>
    <t>Гранулы каменные, крошка и порошок,Тыс. куб.м</t>
  </si>
  <si>
    <t>Гравий,Тыс. куб.м</t>
  </si>
  <si>
    <t>Щебень,Тыс. куб.м</t>
  </si>
  <si>
    <t>Камень природный дробленный,Тыс. куб.м</t>
  </si>
  <si>
    <t>Смеси песчано-гравийные,Тыс. куб.м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</si>
  <si>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</si>
  <si>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</si>
  <si>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</si>
  <si>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Мясо крупного рогатого скота (говядина и телятина) парное, остывшее или охлажденное, в том числе для детского питания,т</t>
  </si>
  <si>
    <t>Свинина парная, остывшая или охлажденная, в том числе для детского питания,т</t>
  </si>
  <si>
    <t>Конина и мясо прочих животных семейства лошадиных парные, остывшие или охлажденные, в том числе для детского питания,т</t>
  </si>
  <si>
    <t>Субпродукты пищевые крупного рогатого скота, свиные, бараньи, козьи, лошадей, ослов, мулов, лошаков и прочих животных семейства лошадиных, оленьи и прочих животных семейства оленьих (оленевых) парные, остывшие или охлажденные, в том числе для детского пит,т</t>
  </si>
  <si>
    <t>Мясо крупного рогатого скота (говядина и телятина) замороженное, в том числе для детского питания,т</t>
  </si>
  <si>
    <t>Мясо лошадей (конина, жеребятина) и прочих животных семейства лошадиных замороженное, в том числе для детского питания,т</t>
  </si>
  <si>
    <t>Мясо и субпродукты пищевые прочие парные, остывшие, охлажденные или замороженные,т</t>
  </si>
  <si>
    <t>Жиры крупного рогатого скота, овец, коз и свиней,т</t>
  </si>
  <si>
    <t>Мясо птицы охлажденное, в том числе для детского питания,т</t>
  </si>
  <si>
    <t>Мясо сельскохозяйственной птицы замороженное, в том числе для детского питания,т</t>
  </si>
  <si>
    <t>Субпродукты сельскохозяйственной птицы пищевые, в том числе для детского питания,т</t>
  </si>
  <si>
    <t>Свинина соленая, в рассоле, копченая, сушеная (в том числе сублимационной сушки),т</t>
  </si>
  <si>
    <t>Мясо крупного рогатого скота соленое, в рассоле, копченое, сушеное (в том числе сублимационной сушки),т</t>
  </si>
  <si>
    <t>Мясо и мясные пищевые субпродукты прочие, соленые, в рассоле, копченые, сушеные (в том числе сублимационной сушки) (кроме мяса свиней и крупного рогатого скота); мясо птицы сухое, мука тонкого и грубого помола из мяса и мясных субпродуктов, пригодная для,т</t>
  </si>
  <si>
    <t>Изделия колбасные вареные, в том числе фаршированные,т</t>
  </si>
  <si>
    <t>Изделия колбасные кровяные,т</t>
  </si>
  <si>
    <t>Изделия колбасные копченые,т</t>
  </si>
  <si>
    <t>Изделия колбасные из термически обработанных ингредиентов,т</t>
  </si>
  <si>
    <t>Полуфабрикаты мясные, мясосодержащие, охлажденные, замороженные,т</t>
  </si>
  <si>
    <t>Изделия кулинарные мясные, мясосодержащие и из мяса и субпродуктов птицы охлажденные, замороженные,т</t>
  </si>
  <si>
    <t>Мука тонкого и грубого помола и гранулы из мяса или мясных субпродуктов, не пригодные для употребления в пищу,т</t>
  </si>
  <si>
    <t>Рыба и филе рыбное холодного копчения,т</t>
  </si>
  <si>
    <t>Рыба и филе рыбное горячего копчения,т</t>
  </si>
  <si>
    <t>Продукты готовые из рыбы прочие, не включенные в другие группировки,т</t>
  </si>
  <si>
    <t>Овощи (кроме картофеля) и грибы сушеные,т</t>
  </si>
  <si>
    <t>Овощи (кроме картофеля) и грибы, консервированные без уксуса или уксусной кислоты, прочие (кроме готовых овощных блюд),тыс.банок усл.</t>
  </si>
  <si>
    <t>Овощи (кроме картофеля), фрукты, орехи и прочие съедобные части растений, переработанные или консервированные с уксусом или уксусной кислотой,тыс.банок усл.</t>
  </si>
  <si>
    <t>Масло соевое и его фракции нерафинированные,т</t>
  </si>
  <si>
    <t>Масло подсолнечное и его фракции нерафинированные,т</t>
  </si>
  <si>
    <t>Масло рапсовое и его фракции нерафинированные,т</t>
  </si>
  <si>
    <t>Жмых и прочие твердые остатки растительных жиров или масел,т</t>
  </si>
  <si>
    <t>Масло соевое и его фракции рафинированные, но не подвергнутые химической модификации,т</t>
  </si>
  <si>
    <t>Масло подсолнечное и его фракции рафинированные, но не подвергнутые химической модификации,т</t>
  </si>
  <si>
    <t>Жиры и масла животные и растительные и их фракции гидрогенизированные и переэтерифицированные, но без дальнейшей обработки,т</t>
  </si>
  <si>
    <t>Маргарин,т</t>
  </si>
  <si>
    <t>Спреды растительно-сливочные, растительно-жировые,т</t>
  </si>
  <si>
    <t>Смеси топленые растительно-сливочные, растительно-жировые,т</t>
  </si>
  <si>
    <t>Жиры специального назначения,т</t>
  </si>
  <si>
    <t>Молоко, кроме сырого,т</t>
  </si>
  <si>
    <t>Сливки,т</t>
  </si>
  <si>
    <t>Масло сливочное,т</t>
  </si>
  <si>
    <t>Спреды и смеси топленые сливочно-растительные,т</t>
  </si>
  <si>
    <t>Сыры,т</t>
  </si>
  <si>
    <t>Творог,т</t>
  </si>
  <si>
    <t>Молоко и сливки, сгущенные или с добавками сахара или других подслащивающих веществ, не сухие,тыс.банок усл.</t>
  </si>
  <si>
    <t>Продукты кисломолочные (кроме сметаны),т</t>
  </si>
  <si>
    <t>Сметана,т</t>
  </si>
  <si>
    <t>Сыворотка,т</t>
  </si>
  <si>
    <t>Напитки молочные,т</t>
  </si>
  <si>
    <t>Продукты на основе творога,т</t>
  </si>
  <si>
    <t>Мороженое,т</t>
  </si>
  <si>
    <t>Мука пшеничная и пшенично-ржаная,т</t>
  </si>
  <si>
    <t>Мука из прочих зерновых культур,т</t>
  </si>
  <si>
    <t>Крупа, мука грубого помола и гранулы из зерновых культур, не включенные другие группировки,т</t>
  </si>
  <si>
    <t>Изделия хлебобулочные недлительного хранения,т</t>
  </si>
  <si>
    <t>Изделия мучные кондитерские, торты и пирожные недлительного хранения,т</t>
  </si>
  <si>
    <t>Хлебцы хрустящие, сухари, гренки и аналогичные обжаренные продукты,т</t>
  </si>
  <si>
    <t>Печенье и пряники имбирные и аналогичные изделия; печенье сладкое; вафли и вафельные облатки; торты и пирожные длительного хранения,т</t>
  </si>
  <si>
    <t>Изделия хлебобулочные сухие прочие или хлебобулочные изделия длительного хранения,т</t>
  </si>
  <si>
    <t>Изделия макаронные и аналогичные мучные изделия,т</t>
  </si>
  <si>
    <t>Кетчуп и соусы томатные прочие,тыс.банок усл.</t>
  </si>
  <si>
    <t>Майонезы,т</t>
  </si>
  <si>
    <t>Соусы майонезные,т</t>
  </si>
  <si>
    <t>Горчица готовая,т</t>
  </si>
  <si>
    <t>Соль пищевая,т</t>
  </si>
  <si>
    <t>Продукты пищевые готовые и блюда,т</t>
  </si>
  <si>
    <t>Молоко питьевое для детского питания пастеризованное, стерилизованное и ультрапастеризованное (ультравысокотемпературно-обработанное), в том числе обогащенное,т</t>
  </si>
  <si>
    <t>Смеси молочные и продукты в жидкой форме для детей раннего возраста,т</t>
  </si>
  <si>
    <t>Яйца без скорлупы и желтки яичные, свежие или консервированные; яйца в скорлупе консервированные или вареные; белок яичный,т</t>
  </si>
  <si>
    <t>Продукты пищевые из муки, крупы, крахмала (кроме детского питания),т</t>
  </si>
  <si>
    <t>Корма животные сухие,т</t>
  </si>
  <si>
    <t>Комбикорма,т</t>
  </si>
  <si>
    <t>Корма для сельскохозяйственных животных прочие,т</t>
  </si>
  <si>
    <t>Концентраты и смеси кормовые,т</t>
  </si>
  <si>
    <t>Производство напитков</t>
  </si>
  <si>
    <t>Водка,Тысяча декалитров</t>
  </si>
  <si>
    <t>Пиво, кроме отходов пивоварения,Тысяча декалитров</t>
  </si>
  <si>
    <t>Солод,т</t>
  </si>
  <si>
    <t>Воды минеральные природные питьевые,Тысяча полулитров</t>
  </si>
  <si>
    <t>Воды питьевые, в том числе газированные, расфасованные в емкости, не содержащие добавки сахара или других подслащивающих или вкусоароматических веществ,Тысяча полулитров</t>
  </si>
  <si>
    <t>тыс. банок</t>
  </si>
  <si>
    <t>Тыс. декалитров</t>
  </si>
  <si>
    <t>Тысяча полулитров</t>
  </si>
  <si>
    <t>Обеспечение электрической энергией, газом и паром; кондиционирование воздуха (раздел D)</t>
  </si>
  <si>
    <t xml:space="preserve"> Добыча полезных ископаемых (Раздел В)</t>
  </si>
  <si>
    <t xml:space="preserve"> Обрабатывающие производства (Раздел  С)</t>
  </si>
  <si>
    <t>Электроэнергия,Гигаватт-час (миллион киловатт-часов)</t>
  </si>
  <si>
    <t>Энергия тепловая, отпущенная тепловыми электроцентралями (ТЭЦ),Тысяча гигакалорий</t>
  </si>
  <si>
    <t>Энергия тепловая, отпущенная промышленными утилизационными установками,Тысяча гигакалорий</t>
  </si>
  <si>
    <t>Энергия тепловая, отпущенная котельными,Тысяча гигакалорий</t>
  </si>
  <si>
    <t>Тысяча гигакалорий</t>
  </si>
  <si>
    <t>Итого по промышленному производству (сумма разделов  В+C+D)</t>
  </si>
  <si>
    <t>Растениеводство и животноводство</t>
  </si>
  <si>
    <t>Деятельность в области культуры, спорта, организации досуга и развлечений, в том числе:</t>
  </si>
  <si>
    <t>**) индекс производства продукции расчитывается по разделам видов экономической деятельности и в целом по промышленности, лесозаготовкам, с/х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</si>
  <si>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</si>
  <si>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</si>
  <si>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</si>
  <si>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2022 г.</t>
  </si>
  <si>
    <t>2021 г.</t>
  </si>
  <si>
    <t>2023 год</t>
  </si>
  <si>
    <t>2023 г.</t>
  </si>
  <si>
    <t>Факт 
2020 года</t>
  </si>
  <si>
    <t>2024 год</t>
  </si>
  <si>
    <t>Факт 
2020 г.</t>
  </si>
  <si>
    <t>2024 г.</t>
  </si>
  <si>
    <t xml:space="preserve">Прочие </t>
  </si>
  <si>
    <t>Налог, взимаемый в связи с применением упрощенной системы налогообложения</t>
  </si>
  <si>
    <t>Единый сельскохозяйственный налог</t>
  </si>
  <si>
    <t>Государственное управление</t>
  </si>
  <si>
    <t>Байкальское городское поселение</t>
  </si>
  <si>
    <t xml:space="preserve"> Строительство завода по глубокой переработке недревесной продукции леса</t>
  </si>
  <si>
    <t>ООО "Травы Байкала"</t>
  </si>
  <si>
    <t>экстракты(т)</t>
  </si>
  <si>
    <t>чайная продукция     (тыс.шт.)</t>
  </si>
  <si>
    <t xml:space="preserve">строительство завода по розливу воды и производству напитков </t>
  </si>
  <si>
    <t>ООО "Полезные напитки"      учредитель            Хорошутина Людмила Георгиевна</t>
  </si>
  <si>
    <t>Создание индустриального парка "Байкальский чистый продукт"</t>
  </si>
  <si>
    <t>Министерство экономического развития Иркутской области, 
АО "Корпорация развития Иркутской области"</t>
  </si>
  <si>
    <t>промплощадка ОАО "БЦБК" в г. Байкальске. Общая площадь: 305 га. Вид использования: для строительства промышленных предприятий</t>
  </si>
  <si>
    <t>Создание особой экономической зоны туристско-рекреационного типа "Ворота Байкала"
(далее - ОЭЗ)*</t>
  </si>
  <si>
    <t xml:space="preserve">  ГП Иркутской области "Государственная поддержка приоритетных отраслей экономики", частные инвесторы</t>
  </si>
  <si>
    <t>Создание коммунальной инфраструктуры: тепло - 32200 Гкал/год, вода - 2000 куб.м/день, э/энергия 20 МВт, телекоммуникации -  210 Мбит/сек., 
14 гостиниц, 112 коттеджей, 4,8 тыс. мест размещения</t>
  </si>
  <si>
    <t>Проданные номера, ед.</t>
  </si>
  <si>
    <t>Проходы, чел.</t>
  </si>
  <si>
    <t>Создание безотходной, экологически безопасной системы обращения с отходами в поселениях Юго-западного побережья озера Байкал с устройством мусороперерабатывающей станции по японской технологии (Байкальск)</t>
  </si>
  <si>
    <t>ООО "Экология Байкала" Сафонов Владимир Кириллович</t>
  </si>
  <si>
    <t xml:space="preserve">Создание  мусороперерабатывающей станции в г. Байкальске, в рамках государственно-частного партнерства на нежилое здание (бывшее здание цеха обезвоживания осадка БЦБК) расположенное по адресу: Иркутская область, Слюдянский район, г. Байкальск, Промплощадка, Центр, площадью 1434 кв. м., на базе которого будет создана мусороперерабатывающая  станция , и земельный участок  площадью до 10 Га.
</t>
  </si>
  <si>
    <t>Содействие реализации инвестиционного проекта ООО "Озеро Байкал " по строительству второй очереди завода по розливу питьевой бутилированной воды</t>
  </si>
  <si>
    <t>ООО "Озеро Байкал " Магер Алексей Николаевич</t>
  </si>
  <si>
    <t>строительство второй очереди завода по розливу питьевой бутилированной воды</t>
  </si>
  <si>
    <t>Строительство сауно-банного комплекса "Байкальские термы" (Байкальск)</t>
  </si>
  <si>
    <t>ООО ТФК "Байкальский бриз"</t>
  </si>
  <si>
    <t>Строительство сауно-банного комплекса</t>
  </si>
  <si>
    <t>Строительство транспортно-пересадочного узла (Байкальск)</t>
  </si>
  <si>
    <t>ООО "Архитектура"</t>
  </si>
  <si>
    <t>строительство пассажирского комплекса, выполняющего  функции по перераспределению пассажиропотоков между видами транспорта и направлениями движения.</t>
  </si>
  <si>
    <t xml:space="preserve">Содействие реализации инвестиционного проекта по созданию в г. Байкальске территории  «Байкальский квартал»  </t>
  </si>
  <si>
    <t xml:space="preserve">Г П Российской Федерации «Экономическое развитие и инновационная экономика» утвержденной постановлением Правительства Российской Федерации от 15 апреля 2014 года № 316 (далее – Госпрограмма). </t>
  </si>
  <si>
    <t xml:space="preserve">"Байкальский  квартал"-  туристическое пространство со своей инфраструктурой – зонами отдыха и развлечений, кафе, магазинами, ресторанами. </t>
  </si>
  <si>
    <t>разработан проект строительства спортивного ядра с физкультурно-оздоровительным комплексом для дополнительного образования детей и взрослых</t>
  </si>
  <si>
    <t xml:space="preserve">Строительство   объекта </t>
  </si>
  <si>
    <t>Строительство стадиона Победы</t>
  </si>
  <si>
    <t>МП "Формирование современной городской среды на территории Байкальского муниципального образования на 2018-2024годы" Частный инвестор</t>
  </si>
  <si>
    <t>Разработка ПСД</t>
  </si>
  <si>
    <t>Прохождение экологической и строительной экспертизы</t>
  </si>
  <si>
    <t xml:space="preserve">Строительство велолыжероллерной трассы </t>
  </si>
  <si>
    <t>Отработана гомологация предполагаемой трассы с Федерацией лыжных гонок России</t>
  </si>
  <si>
    <t>Реконструкция канализационных очистных сооружений   в г.Байкальске</t>
  </si>
  <si>
    <t>ФЦП «Охрана оз. Байкал и социально-экономическое развитие Байкальской природной территории»ГП "Охрана окружающей среды 2014-2024годы</t>
  </si>
  <si>
    <t>Реконструкция ТЭЦ БЦБК для обеспечения эффективного теплоснабжения г. Байкальска после закрытия ОАО "БЦБК"</t>
  </si>
  <si>
    <t>ФЦП «Охрана оз. Байкал и социально-экономическое развитие Байкальской природной территории»</t>
  </si>
  <si>
    <t xml:space="preserve">Объект реконструкции будет располагаться на земельном участке с кадастровым номером – 38:25020103:570 площадью             138 378 кв.м.
</t>
  </si>
  <si>
    <t xml:space="preserve">Реконструкция осуществляется на площадке существующей ТЭЦ г. Байкальска. В проекте реконструкции предусмотрено следующее:
- комплекс реконструируемых и вновь возводимых зданий и сооружений источника теплоснабжения располагается в пределах площадки ТЭЦ с максимальным использованием существующей инженерной инфраструктуры. В состав основных объектов реконструкции системы теплоснабжения входят здание котельной со вспомогательными объектами;
- в целях экономии средств, предусмотрена возможность использования существующих зданий и сооружений ТЭЦ города Байкальска;
- схема работы котельной обеспечивает отпуск тепла при последующей реконструкции тепловых сетей и переходе на закрытую систему ГВС. Предусмотрена возможность эксплуатации с существующей тепловой сетью и открытой системой ГВС;
- проектом предусмотрено использование существующей инфраструктуры транспортировки и складирования резервного топлива;
</t>
  </si>
  <si>
    <t xml:space="preserve"> проектом предусмотрена реконструкция безъемкостного разгрузочного устройства действующей ТЭЦ, галерей конвейеров 1А, Б, узла пересыпки №1 и замена всего оборудования, находящихся в этих сооружениях;
- проектом установлена производительность котельной 80 Гкал/час.
В качестве основного топлива в котельной используется древесная щепа и пеллеты. Резервное топливо угли различного качества, преимущественно бурый уголь. Растопочное топливо – дизельное.
</t>
  </si>
  <si>
    <t xml:space="preserve">Первоочередные мероприятия по подготовке к отопительному сезону  ТЭЦ г. Байкальска </t>
  </si>
  <si>
    <t>Государственная программа Иркутской области «Развитие жилищно-коммунального хозяйства Иркутской области» на 2014-2024 годы</t>
  </si>
  <si>
    <t xml:space="preserve">Переселение граждан из аварийного жилищного фонда г. Байкальска </t>
  </si>
  <si>
    <t xml:space="preserve">МАП "Переселение граждан, проживающих на территории Байкальского муниципального образования , из аварийного жилищного фонда,  в 2019-2025 годах 
Региональная адресная программа "Переселение граждан, проживающих на территории Иркутской области , из аварийного жилищного фонда, признанного  таковым до 01 января 2017 года  в 2019-2025 годах </t>
  </si>
  <si>
    <t>Капитальный ремонт  общего имущества многоквартирных домов на территории Байкальского городского поселения</t>
  </si>
  <si>
    <t>РП "Капитальный ремонт общего имущества многоквартирных домов на территории Иркутской области 2014-2043гг</t>
  </si>
  <si>
    <t xml:space="preserve">определение  видов работ капитального ремонта </t>
  </si>
  <si>
    <t>Благоустройство дворовых территорий Байкальского муниципального образования</t>
  </si>
  <si>
    <t>МП "Формирование современной городской среды на территории Байкальского муниципального образования на 2018-2024годы"</t>
  </si>
  <si>
    <t>Благоустройство муниципальных территорий общего пользования Байкальского муниципального образования</t>
  </si>
  <si>
    <t xml:space="preserve">ведутся работы по  благоустройству </t>
  </si>
  <si>
    <t>Разработка проектной документации по строительству объекта:Электроснабжение садоводческих некоммерческих товариществ,расположенных на территории Байкальского муниципального образования (СНТ Бабха-1,СНТ Бабха-2,СНТ Солзан,СНТ Южный,СНТ Горный Байкал,СНТ Строитель)</t>
  </si>
  <si>
    <t>Ремонт автомобильного моста через реку Харлахта,г.Байкальск</t>
  </si>
  <si>
    <t xml:space="preserve">Ремонт автомобильного моста </t>
  </si>
  <si>
    <t>ввод объекта в эксплуатацию</t>
  </si>
  <si>
    <t>Ремонт автомобильного моста через реку Солзан,г.Байкальск</t>
  </si>
  <si>
    <t xml:space="preserve">Строительство Многофункционального культурного центра Иркутская область, Слюдянский район, г. Байкальск, микрорайон Строитель, ул. Железнодорожная, №4А </t>
  </si>
  <si>
    <t>Организация размещения взлетно-посадочной площадки в г. Байкальске (малая авиация)</t>
  </si>
  <si>
    <t xml:space="preserve">Муниципальное образование Байкальское городское поселение,Министерство экономического развития Иркутской области
Муниципальное образование Слюдянский район,
Министерство имущественных отношений Иркутской области
</t>
  </si>
  <si>
    <t>разработка ПСД</t>
  </si>
  <si>
    <t>прохождение экологической и строительной экспертизы</t>
  </si>
  <si>
    <t>Организация размещения площадки под причаливание судов на воздушной подушке</t>
  </si>
  <si>
    <t>Строительство экологических троп и туристских маршрутов, смотровых площадок</t>
  </si>
  <si>
    <t xml:space="preserve">Постановление правительства Российской Федерации № 1619 от 7.12.2019 года,Муниципальное образование Байкальское городское поселение,
Муниципальное образование Слюдянский район, Министерство сельского хозяйства Иркутской области, Агентство по туризму Иркутской области
</t>
  </si>
  <si>
    <t>Реализация комплекса мероприятий по развитию агротуризма(создание плодово-ягодных садов в местности Утулик-Байкальск)</t>
  </si>
  <si>
    <t>создание плодово-ягодных садов в местности Утулик-Байкальск</t>
  </si>
  <si>
    <t>Развитие аквакультуры на территории г.Байкальска            (разведение  Байкальского осетра)</t>
  </si>
  <si>
    <t xml:space="preserve">Правительство РФ,  на основании протокола  от 02.03.2020г №ВА-П11-15пр ,ФЦП «Охрана оз. Байкал и социально-экономическое развитие Байкальской природной территории», ГП "Охрана окружающей среды" на 2014-2024 годы
</t>
  </si>
  <si>
    <t>Создание городского пляжа "Красный ключ"</t>
  </si>
  <si>
    <t xml:space="preserve">МП "Формирование современной городской среды на территории Байкальского муниципального образования на 2018-2024годы"
</t>
  </si>
  <si>
    <t>Рекомендуется выделять на береговой зоне следующие зоны:
- входную,
- зону озеленения,
- зону отдыха,
- зону обслуживания,
- спортивную зону,
- детский сектор и др.</t>
  </si>
  <si>
    <t>Прохождение экологической  экспертизы</t>
  </si>
  <si>
    <t>Создание городского пляжа</t>
  </si>
  <si>
    <t>Реализация мероприятий по ликвидации негативного воздействия отходов, накопленных в результате деятельности ОАО "БЦБК"</t>
  </si>
  <si>
    <t xml:space="preserve">ФЦП «Охрана оз. Байкал и социально-экономическое развитие Байкальской природной территории»
ГП "Охрана окружающей среды" 
на 2014-2024 годы
</t>
  </si>
  <si>
    <t xml:space="preserve">Правительство РФ назначило ФГУП «Федеральный экологический оператор» единственным исполнителем работ по ликвидации отходов ОАО «БЦБК» 
Таким образом, все работы, связанные с подготовкой проекта, необходимой проектной документации, дальнейшей ликвидацией вреда окружающей среде, который образовался в результате многолетней работы Байкальского ЦБК, будет исполнять ФГУП "Федеральный экологический оператор" (подразделение Госкорпорации "Росатом")
</t>
  </si>
  <si>
    <t>Слюдянское городское поселение</t>
  </si>
  <si>
    <t>Стротельство гостевой усадьбы</t>
  </si>
  <si>
    <t>АО Дорожник</t>
  </si>
  <si>
    <t>информация уточняется</t>
  </si>
  <si>
    <t>Стротельство семейного эколого-просветительского парка развлечений "Сказки Байкала"</t>
  </si>
  <si>
    <t>администрация Слюдянского городсокго поселения</t>
  </si>
  <si>
    <t>организация смотровых площадок в районе пади Талой-путепровод, поселка Буровщина, участок вдоль федеральной трассы Р-258 мыса Шаманский</t>
  </si>
  <si>
    <t>информация отсутствует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</si>
  <si>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</si>
  <si>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</si>
  <si>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</si>
  <si>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</si>
  <si>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</si>
  <si>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6.Новоснежнинское сельское поселение</t>
  </si>
  <si>
    <t>7.Быстринское сельское поселение</t>
  </si>
  <si>
    <t>8.Маритуйское сельское поселение</t>
  </si>
  <si>
    <t xml:space="preserve">Объем произведенной продукции в сопоставимых ценах </t>
  </si>
  <si>
    <t>2017 г.</t>
  </si>
  <si>
    <t>14 =
итог гр.10/
итог гр.9
* 100</t>
  </si>
  <si>
    <t>15 =
итог гр.11/
итог гр.10
* 100</t>
  </si>
  <si>
    <t>16 =
итог гр.12/
итог гр.11
* 100</t>
  </si>
  <si>
    <t>17 =
итог гр.13/
итог гр.12
* 100</t>
  </si>
  <si>
    <t>18 =
итог гр.14/
итог гр.13
* 100</t>
  </si>
  <si>
    <r>
      <t xml:space="preserve">Гранит, песчаник и прочий камень для памятников или строительства,тыс.т   </t>
    </r>
    <r>
      <rPr>
        <i/>
        <sz val="20"/>
        <rFont val="Times New Roman"/>
        <family val="1"/>
        <charset val="204"/>
      </rPr>
      <t>(цемсырье)</t>
    </r>
  </si>
  <si>
    <t>байк</t>
  </si>
  <si>
    <t>слюд</t>
  </si>
  <si>
    <t>култ</t>
  </si>
  <si>
    <t>порт</t>
  </si>
  <si>
    <t>утул</t>
  </si>
  <si>
    <t>н.сн</t>
  </si>
  <si>
    <t>быстр</t>
  </si>
  <si>
    <t>марит</t>
  </si>
  <si>
    <t xml:space="preserve">контроль </t>
  </si>
  <si>
    <t>не меняется</t>
  </si>
  <si>
    <t>2025 год</t>
  </si>
  <si>
    <t xml:space="preserve">1 вариант (КОНСЕРВАТИВНЫЙ) </t>
  </si>
  <si>
    <t xml:space="preserve">2 вариант (БАЗОВЫЙ) </t>
  </si>
  <si>
    <t>Факт 
2021 года</t>
  </si>
  <si>
    <t>Оценка 
2022 года</t>
  </si>
  <si>
    <t>Отдельные показатели прогноза развития муниципальных образований поселенческого уровня на 2023-2025 годы*</t>
  </si>
  <si>
    <t>Факт 
2021 г.</t>
  </si>
  <si>
    <t>Оценка 2022 г.</t>
  </si>
  <si>
    <t>2025 г.</t>
  </si>
  <si>
    <t>консервативный</t>
  </si>
  <si>
    <t>базовый (оэз)</t>
  </si>
  <si>
    <t>ФОТ %</t>
  </si>
  <si>
    <t>ЗАНЯТЫЕ</t>
  </si>
  <si>
    <t>ур.безр.0,7</t>
  </si>
  <si>
    <t>дельта безраб.22/безраб 21 по цзн</t>
  </si>
  <si>
    <t>Всего за 2022-2025 гг., 
в т.ч. по годам:</t>
  </si>
  <si>
    <t>Строительство    спортивного ядра с физкультурно-оздоровительным комплексом в г. Байкальске</t>
  </si>
  <si>
    <t>МП "Развитие физической культуры и спорта в БГП 2015-2024г., частный инвестор</t>
  </si>
  <si>
    <t>МП "Развитие физической культуры и спорта в БГП 2015-2024г, частный инвестор</t>
  </si>
  <si>
    <t>запланировано переселение 46 человек  площадь 816,3 кв.м</t>
  </si>
  <si>
    <t>запланировано переселение329 человек площадь 5660,9 кв.м</t>
  </si>
  <si>
    <t>запланировано переселение 381 человек  площадь 5864,3 кв.м</t>
  </si>
  <si>
    <t>определены виды работ капитального ремонта в мкр.Южный и мкр.Гагарина</t>
  </si>
  <si>
    <t xml:space="preserve">мкр.Южный, квартал,4 дом 19 ремонт инженерных коммуникаций
мкр.Южный, квартал,4 дом 20 ремонт инженерных коммуникаций
мкр.Южный,квартал,2 дом 40 ремонт кровли
мкр.Гагарина, дом 146 ремонт инженерных коммуникаций
мкр.Гагарина, дом 150 ремонт инженерных коммуникаций
</t>
  </si>
  <si>
    <t xml:space="preserve">выполнение работ по благоустройству территории общего пользования расположенной по адресу: Иркутская область, Слюдянский район, г. Байкальск, мкр. Гагарина, сквер «Целлюлозников», ул. Целлюлозников». </t>
  </si>
  <si>
    <t>частично МП «Формирование современной городской среды на территории Байкальского муниципального образования на 2018-2024годы»</t>
  </si>
  <si>
    <t>ГП "Реализация государственной политики в сфере строительства,дорожного хозяйства" на 2019-2024годы МП "Развитие траспортного комплекса и улично-дорожной сети Байкальского муниципального образования на 2015-2024гг</t>
  </si>
  <si>
    <t>ГП "Реализация государственной политики в сфере строительства,дорожного хозяйства" на 2019-2023годы МП "Развитие траспортного комплекса и улично-дорожной сети Байкальского муниципального образования на 2015-2024гг</t>
  </si>
  <si>
    <t>МП «Развитие культуры и досуга населения БГП на 2015-2024 г.г»</t>
  </si>
  <si>
    <t>окупаемость проекта 8 лет 6 мес.</t>
  </si>
  <si>
    <t>Парк строителей КБЖД и набережная Байкала в Слюдянке</t>
  </si>
  <si>
    <t>ОАО "РЖД"</t>
  </si>
  <si>
    <t>Култукское городское поселение</t>
  </si>
  <si>
    <t>"Переселение граждан из ветхого и аварийного жилищного фонда Култукского МО"</t>
  </si>
  <si>
    <t>Всего за 2023-2025 гг., 
в т.ч. по годам:</t>
  </si>
  <si>
    <t>Строительство клуба на 250 мест со спортивным залом</t>
  </si>
  <si>
    <t>Строительство и реконструкция КОС в п.култук, п.Ангасолка</t>
  </si>
  <si>
    <t>ВСЕГО ПО РАЙОНУ</t>
  </si>
  <si>
    <t xml:space="preserve">Прогноз социально-экономического развития Слюдянского муниципального района на 2023 год и плановый период 2024 и 2025 годов  </t>
  </si>
  <si>
    <t>Сводный перечень инвестиционных проектов, реализация которых предполагается в 2022-2025 гг. 
Слюдянский муниципальный район
(наименование муниципального района, городского округа)</t>
  </si>
  <si>
    <t xml:space="preserve">Приложение № 1 к прогнозу социально-экономического развития Слюдянского муниципального района на 2023 год и плановый период 2024 и 2025 годов </t>
  </si>
  <si>
    <t>Приложение № 3 к прогнозу социально-экономического развития Слюдянского муниципального района на 2023 год и плановый период 2024 и 2025 годов</t>
  </si>
  <si>
    <t>УПРДОР «Южный Байкал».</t>
  </si>
  <si>
    <t>Култукское МО в рамках ФЦП</t>
  </si>
  <si>
    <t>198 млн.руб, из них:                 124 ФБ,  50 частные,  20 ОБ, 4 МБ</t>
  </si>
  <si>
    <t>Приложение № 2 к прогнозу социально-экономического развития Слюдянского                                                                       муниципального района на 2023 год и плановый период 2024 и 2025 годов</t>
  </si>
  <si>
    <t>Приложение к постановлению администрации                                                                                                                                                                                         Слюдянского муниципального района                                                                                                                                                                                                                 от "08" ноября 2022 г. № 575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</si>
</sst>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₽_-;\-* #,##0.00\ _₽_-;_-* &quot;-&quot;??\ _₽_-;_-@_-"/>
    <numFmt numFmtId="164" formatCode="0.0"/>
    <numFmt numFmtId="165" formatCode="0.000"/>
    <numFmt numFmtId="166" formatCode="#,##0.000"/>
    <numFmt numFmtId="167" formatCode="#,##0.0"/>
    <numFmt numFmtId="168" formatCode="#,##0.00_ ;\-#,##0.00\ "/>
    <numFmt numFmtId="169" formatCode="_-* #,##0.0\ _₽_-;\-* #,##0.0\ _₽_-;_-* &quot;-&quot;??\ _₽_-;_-@_-"/>
  </numFmts>
  <fonts count="56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name val="Arial Cyr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</font>
    <font>
      <sz val="8"/>
      <name val="Arial Cyr"/>
      <charset val="204"/>
    </font>
    <font>
      <b/>
      <sz val="12"/>
      <name val="Times New Roman"/>
      <family val="1"/>
    </font>
    <font>
      <sz val="10"/>
      <name val="Times New Roman"/>
      <family val="1"/>
      <charset val="204"/>
    </font>
    <font>
      <b/>
      <sz val="22"/>
      <name val="Arial Cyr"/>
      <family val="2"/>
      <charset val="204"/>
    </font>
    <font>
      <b/>
      <sz val="16"/>
      <name val="Arial Cyr"/>
      <family val="2"/>
      <charset val="204"/>
    </font>
    <font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name val="Arial Cyr"/>
      <charset val="204"/>
    </font>
    <font>
      <sz val="16"/>
      <name val="Times New Roman"/>
      <family val="1"/>
      <charset val="204"/>
    </font>
    <font>
      <sz val="16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Arial Cyr"/>
      <charset val="204"/>
    </font>
    <font>
      <i/>
      <sz val="12"/>
      <name val="Times New Roman"/>
      <family val="1"/>
      <charset val="204"/>
    </font>
    <font>
      <b/>
      <sz val="20"/>
      <name val="Times New Roman"/>
      <family val="1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Arial"/>
      <family val="2"/>
      <charset val="204"/>
    </font>
    <font>
      <b/>
      <sz val="10"/>
      <name val="Times New Roman CYR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0"/>
      <name val="Arial Cyr"/>
      <charset val="204"/>
    </font>
    <font>
      <b/>
      <sz val="10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4"/>
      <name val="Times"/>
      <family val="1"/>
    </font>
    <font>
      <sz val="11"/>
      <name val="Times New Roman"/>
      <family val="1"/>
      <charset val="204"/>
    </font>
    <font>
      <sz val="11"/>
      <name val="Arial Cyr"/>
      <charset val="204"/>
    </font>
    <font>
      <sz val="10"/>
      <color indexed="8"/>
      <name val="Times New Roman"/>
      <family val="1"/>
      <charset val="204"/>
    </font>
    <font>
      <sz val="10"/>
      <name val="Arial"/>
      <family val="2"/>
      <charset val="204"/>
    </font>
    <font>
      <sz val="20"/>
      <color theme="0"/>
      <name val="Times New Roman"/>
      <family val="1"/>
      <charset val="204"/>
    </font>
    <font>
      <sz val="14"/>
      <color theme="0" tint="-0.34998626667073579"/>
      <name val="Times New Roman"/>
      <family val="1"/>
      <charset val="204"/>
    </font>
    <font>
      <sz val="10"/>
      <color theme="0" tint="-0.34998626667073579"/>
      <name val="Arial Cyr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dotted">
        <color indexed="64"/>
      </right>
      <top style="dashed">
        <color indexed="23"/>
      </top>
      <bottom style="dashed">
        <color indexed="23"/>
      </bottom>
      <diagonal/>
    </border>
  </borders>
  <cellStyleXfs count="3">
    <xf numFmtId="0" fontId="0" fillId="0" borderId="0"/>
    <xf numFmtId="43" fontId="38" fillId="0" borderId="0" applyFont="0" applyFill="0" applyBorder="0" applyAlignment="0" applyProtection="0"/>
    <xf numFmtId="0" fontId="1" fillId="0" borderId="0"/>
  </cellStyleXfs>
  <cellXfs count="440">
    <xf numFmtId="0" fontId="0" fillId="0" borderId="0" xfId="0"/>
    <xf numFmtId="0" fontId="13" fillId="0" borderId="0" xfId="0" applyFont="1"/>
    <xf numFmtId="0" fontId="19" fillId="0" borderId="2" xfId="0" applyFont="1" applyBorder="1" applyAlignment="1">
      <alignment horizontal="center"/>
    </xf>
    <xf numFmtId="0" fontId="22" fillId="0" borderId="2" xfId="0" applyFont="1" applyBorder="1"/>
    <xf numFmtId="0" fontId="21" fillId="0" borderId="3" xfId="0" applyFont="1" applyBorder="1" applyAlignment="1">
      <alignment wrapText="1"/>
    </xf>
    <xf numFmtId="0" fontId="19" fillId="0" borderId="3" xfId="0" applyFont="1" applyBorder="1" applyAlignment="1">
      <alignment horizontal="center"/>
    </xf>
    <xf numFmtId="0" fontId="19" fillId="0" borderId="3" xfId="0" applyFont="1" applyBorder="1" applyAlignment="1">
      <alignment horizontal="center" wrapText="1"/>
    </xf>
    <xf numFmtId="0" fontId="22" fillId="0" borderId="3" xfId="0" applyFont="1" applyBorder="1"/>
    <xf numFmtId="0" fontId="19" fillId="0" borderId="3" xfId="0" applyFont="1" applyBorder="1" applyAlignment="1">
      <alignment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wrapText="1"/>
    </xf>
    <xf numFmtId="0" fontId="19" fillId="0" borderId="4" xfId="0" applyFont="1" applyBorder="1" applyAlignment="1">
      <alignment horizontal="center"/>
    </xf>
    <xf numFmtId="0" fontId="22" fillId="0" borderId="4" xfId="0" applyFont="1" applyBorder="1"/>
    <xf numFmtId="0" fontId="19" fillId="0" borderId="3" xfId="0" applyFont="1" applyFill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22" fillId="0" borderId="5" xfId="0" applyFont="1" applyBorder="1"/>
    <xf numFmtId="0" fontId="19" fillId="0" borderId="2" xfId="0" applyFont="1" applyBorder="1" applyAlignment="1">
      <alignment vertical="center" wrapText="1"/>
    </xf>
    <xf numFmtId="0" fontId="19" fillId="0" borderId="2" xfId="0" applyFont="1" applyBorder="1"/>
    <xf numFmtId="0" fontId="19" fillId="0" borderId="3" xfId="0" applyFont="1" applyBorder="1" applyAlignment="1">
      <alignment vertical="center" wrapText="1"/>
    </xf>
    <xf numFmtId="0" fontId="19" fillId="0" borderId="3" xfId="0" applyFont="1" applyBorder="1"/>
    <xf numFmtId="0" fontId="23" fillId="0" borderId="0" xfId="0" applyFont="1"/>
    <xf numFmtId="0" fontId="24" fillId="0" borderId="0" xfId="0" applyFont="1"/>
    <xf numFmtId="0" fontId="16" fillId="0" borderId="0" xfId="0" applyFont="1"/>
    <xf numFmtId="0" fontId="19" fillId="0" borderId="0" xfId="0" applyFont="1" applyBorder="1" applyAlignment="1">
      <alignment horizontal="center"/>
    </xf>
    <xf numFmtId="0" fontId="22" fillId="0" borderId="0" xfId="0" applyFont="1" applyBorder="1"/>
    <xf numFmtId="0" fontId="23" fillId="0" borderId="0" xfId="0" applyFont="1" applyFill="1"/>
    <xf numFmtId="0" fontId="22" fillId="2" borderId="2" xfId="0" applyFont="1" applyFill="1" applyBorder="1"/>
    <xf numFmtId="0" fontId="22" fillId="2" borderId="3" xfId="0" applyFont="1" applyFill="1" applyBorder="1"/>
    <xf numFmtId="0" fontId="22" fillId="2" borderId="4" xfId="0" applyFont="1" applyFill="1" applyBorder="1"/>
    <xf numFmtId="0" fontId="19" fillId="2" borderId="2" xfId="0" applyFont="1" applyFill="1" applyBorder="1"/>
    <xf numFmtId="0" fontId="19" fillId="2" borderId="3" xfId="0" applyFont="1" applyFill="1" applyBorder="1"/>
    <xf numFmtId="0" fontId="21" fillId="0" borderId="6" xfId="0" applyFont="1" applyBorder="1" applyAlignment="1">
      <alignment wrapText="1"/>
    </xf>
    <xf numFmtId="0" fontId="20" fillId="0" borderId="5" xfId="0" applyFont="1" applyBorder="1" applyAlignment="1">
      <alignment wrapText="1"/>
    </xf>
    <xf numFmtId="0" fontId="20" fillId="0" borderId="5" xfId="0" applyFont="1" applyBorder="1" applyAlignment="1">
      <alignment vertical="center" wrapText="1"/>
    </xf>
    <xf numFmtId="0" fontId="20" fillId="0" borderId="7" xfId="0" applyFont="1" applyBorder="1" applyAlignment="1">
      <alignment wrapText="1"/>
    </xf>
    <xf numFmtId="0" fontId="19" fillId="0" borderId="8" xfId="0" applyFont="1" applyBorder="1"/>
    <xf numFmtId="0" fontId="19" fillId="0" borderId="9" xfId="0" applyFont="1" applyBorder="1"/>
    <xf numFmtId="0" fontId="22" fillId="0" borderId="9" xfId="0" applyFont="1" applyBorder="1"/>
    <xf numFmtId="0" fontId="19" fillId="0" borderId="3" xfId="0" applyFont="1" applyFill="1" applyBorder="1" applyAlignment="1">
      <alignment vertical="center" wrapText="1"/>
    </xf>
    <xf numFmtId="0" fontId="11" fillId="0" borderId="0" xfId="0" applyFont="1"/>
    <xf numFmtId="0" fontId="0" fillId="0" borderId="0" xfId="0" applyFill="1"/>
    <xf numFmtId="0" fontId="15" fillId="0" borderId="0" xfId="0" applyFont="1" applyFill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9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 wrapText="1"/>
    </xf>
    <xf numFmtId="0" fontId="25" fillId="0" borderId="10" xfId="0" applyFont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49" fontId="10" fillId="0" borderId="10" xfId="0" applyNumberFormat="1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wrapText="1"/>
    </xf>
    <xf numFmtId="0" fontId="5" fillId="0" borderId="10" xfId="0" applyFont="1" applyBorder="1" applyAlignment="1">
      <alignment horizontal="left"/>
    </xf>
    <xf numFmtId="0" fontId="5" fillId="0" borderId="10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0" xfId="0" applyFont="1" applyBorder="1" applyAlignment="1">
      <alignment horizontal="right" wrapText="1"/>
    </xf>
    <xf numFmtId="0" fontId="7" fillId="0" borderId="10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justify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0" xfId="0" applyFont="1" applyBorder="1" applyAlignment="1">
      <alignment horizontal="justify"/>
    </xf>
    <xf numFmtId="0" fontId="5" fillId="0" borderId="10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25" fillId="0" borderId="17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right" vertical="center" wrapText="1"/>
    </xf>
    <xf numFmtId="0" fontId="19" fillId="0" borderId="19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/>
    </xf>
    <xf numFmtId="0" fontId="19" fillId="0" borderId="19" xfId="0" applyFont="1" applyFill="1" applyBorder="1" applyAlignment="1">
      <alignment horizontal="center" vertical="center" wrapText="1"/>
    </xf>
    <xf numFmtId="0" fontId="22" fillId="0" borderId="19" xfId="0" applyFont="1" applyBorder="1"/>
    <xf numFmtId="0" fontId="22" fillId="2" borderId="19" xfId="0" applyFont="1" applyFill="1" applyBorder="1"/>
    <xf numFmtId="0" fontId="21" fillId="0" borderId="19" xfId="0" applyFont="1" applyBorder="1" applyAlignment="1">
      <alignment wrapText="1"/>
    </xf>
    <xf numFmtId="0" fontId="34" fillId="0" borderId="10" xfId="0" applyFont="1" applyFill="1" applyBorder="1" applyAlignment="1">
      <alignment horizontal="left" vertical="center" wrapText="1"/>
    </xf>
    <xf numFmtId="0" fontId="34" fillId="0" borderId="10" xfId="0" applyFont="1" applyBorder="1" applyAlignment="1">
      <alignment horizontal="left" vertical="center" wrapText="1"/>
    </xf>
    <xf numFmtId="0" fontId="32" fillId="0" borderId="0" xfId="0" applyFont="1" applyFill="1" applyAlignment="1">
      <alignment horizontal="right" vertical="center" wrapText="1"/>
    </xf>
    <xf numFmtId="0" fontId="6" fillId="0" borderId="10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9" fillId="0" borderId="5" xfId="0" applyFont="1" applyFill="1" applyBorder="1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/>
    </xf>
    <xf numFmtId="0" fontId="0" fillId="0" borderId="0" xfId="0" applyBorder="1"/>
    <xf numFmtId="0" fontId="12" fillId="0" borderId="0" xfId="0" applyFont="1" applyAlignment="1">
      <alignment vertical="center" wrapText="1"/>
    </xf>
    <xf numFmtId="49" fontId="25" fillId="0" borderId="10" xfId="0" applyNumberFormat="1" applyFont="1" applyFill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/>
    </xf>
    <xf numFmtId="0" fontId="19" fillId="0" borderId="2" xfId="0" applyFont="1" applyBorder="1" applyAlignment="1">
      <alignment wrapText="1"/>
    </xf>
    <xf numFmtId="0" fontId="21" fillId="0" borderId="4" xfId="0" applyFont="1" applyBorder="1" applyAlignment="1">
      <alignment wrapText="1"/>
    </xf>
    <xf numFmtId="0" fontId="23" fillId="4" borderId="13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 wrapText="1"/>
    </xf>
    <xf numFmtId="0" fontId="23" fillId="4" borderId="14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36" fillId="4" borderId="1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6" fillId="0" borderId="16" xfId="0" applyFont="1" applyBorder="1" applyAlignment="1">
      <alignment horizontal="justify" vertical="center" wrapText="1"/>
    </xf>
    <xf numFmtId="0" fontId="21" fillId="0" borderId="0" xfId="0" applyFont="1" applyBorder="1" applyAlignment="1">
      <alignment vertical="center" wrapText="1"/>
    </xf>
    <xf numFmtId="0" fontId="15" fillId="0" borderId="0" xfId="0" applyFont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31" fillId="6" borderId="10" xfId="0" applyFont="1" applyFill="1" applyBorder="1" applyAlignment="1">
      <alignment vertical="center" wrapText="1"/>
    </xf>
    <xf numFmtId="0" fontId="5" fillId="6" borderId="16" xfId="0" applyFont="1" applyFill="1" applyBorder="1" applyAlignment="1">
      <alignment horizontal="center" vertical="center"/>
    </xf>
    <xf numFmtId="0" fontId="0" fillId="6" borderId="0" xfId="0" applyFill="1"/>
    <xf numFmtId="0" fontId="31" fillId="6" borderId="16" xfId="0" applyFont="1" applyFill="1" applyBorder="1" applyAlignment="1">
      <alignment horizontal="left" vertical="center" wrapText="1"/>
    </xf>
    <xf numFmtId="0" fontId="5" fillId="6" borderId="25" xfId="0" applyFont="1" applyFill="1" applyBorder="1" applyAlignment="1">
      <alignment horizontal="center" vertical="center"/>
    </xf>
    <xf numFmtId="0" fontId="0" fillId="6" borderId="9" xfId="0" applyFill="1" applyBorder="1"/>
    <xf numFmtId="0" fontId="31" fillId="6" borderId="25" xfId="0" applyFont="1" applyFill="1" applyBorder="1" applyAlignment="1">
      <alignment vertical="center" wrapText="1"/>
    </xf>
    <xf numFmtId="0" fontId="34" fillId="6" borderId="24" xfId="0" applyFont="1" applyFill="1" applyBorder="1" applyAlignment="1">
      <alignment horizontal="left" vertical="center" wrapText="1"/>
    </xf>
    <xf numFmtId="0" fontId="7" fillId="6" borderId="10" xfId="0" applyFont="1" applyFill="1" applyBorder="1" applyAlignment="1">
      <alignment vertical="center" wrapText="1"/>
    </xf>
    <xf numFmtId="0" fontId="27" fillId="6" borderId="10" xfId="0" applyFont="1" applyFill="1" applyBorder="1" applyAlignment="1">
      <alignment vertical="center" wrapText="1"/>
    </xf>
    <xf numFmtId="0" fontId="29" fillId="6" borderId="10" xfId="0" applyFont="1" applyFill="1" applyBorder="1" applyAlignment="1">
      <alignment vertical="center" wrapText="1"/>
    </xf>
    <xf numFmtId="0" fontId="31" fillId="6" borderId="10" xfId="0" applyFont="1" applyFill="1" applyBorder="1" applyAlignment="1">
      <alignment horizontal="right" vertical="center" wrapText="1"/>
    </xf>
    <xf numFmtId="0" fontId="11" fillId="6" borderId="39" xfId="0" applyFont="1" applyFill="1" applyBorder="1" applyAlignment="1">
      <alignment horizontal="left" wrapText="1"/>
    </xf>
    <xf numFmtId="0" fontId="5" fillId="6" borderId="10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left" wrapText="1"/>
    </xf>
    <xf numFmtId="0" fontId="5" fillId="6" borderId="11" xfId="0" applyFont="1" applyFill="1" applyBorder="1" applyAlignment="1">
      <alignment horizontal="left" vertical="center" wrapText="1"/>
    </xf>
    <xf numFmtId="0" fontId="5" fillId="6" borderId="11" xfId="0" applyFont="1" applyFill="1" applyBorder="1" applyAlignment="1">
      <alignment horizontal="left"/>
    </xf>
    <xf numFmtId="0" fontId="5" fillId="6" borderId="38" xfId="0" applyFont="1" applyFill="1" applyBorder="1" applyAlignment="1">
      <alignment horizontal="left"/>
    </xf>
    <xf numFmtId="0" fontId="0" fillId="7" borderId="0" xfId="0" applyFill="1"/>
    <xf numFmtId="0" fontId="33" fillId="0" borderId="0" xfId="0" applyFont="1"/>
    <xf numFmtId="0" fontId="33" fillId="0" borderId="1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vertical="center" wrapText="1"/>
    </xf>
    <xf numFmtId="0" fontId="23" fillId="4" borderId="2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/>
    </xf>
    <xf numFmtId="0" fontId="19" fillId="6" borderId="4" xfId="0" applyFont="1" applyFill="1" applyBorder="1" applyAlignment="1">
      <alignment horizontal="center" vertical="center" wrapText="1"/>
    </xf>
    <xf numFmtId="0" fontId="19" fillId="0" borderId="4" xfId="0" applyFont="1" applyBorder="1"/>
    <xf numFmtId="2" fontId="19" fillId="2" borderId="4" xfId="0" applyNumberFormat="1" applyFont="1" applyFill="1" applyBorder="1"/>
    <xf numFmtId="0" fontId="22" fillId="8" borderId="4" xfId="0" applyFont="1" applyFill="1" applyBorder="1"/>
    <xf numFmtId="2" fontId="21" fillId="2" borderId="4" xfId="0" applyNumberFormat="1" applyFont="1" applyFill="1" applyBorder="1"/>
    <xf numFmtId="0" fontId="19" fillId="6" borderId="2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 vertical="center" wrapText="1"/>
    </xf>
    <xf numFmtId="2" fontId="22" fillId="2" borderId="3" xfId="0" applyNumberFormat="1" applyFont="1" applyFill="1" applyBorder="1"/>
    <xf numFmtId="0" fontId="19" fillId="9" borderId="3" xfId="0" applyFont="1" applyFill="1" applyBorder="1" applyAlignment="1">
      <alignment wrapText="1"/>
    </xf>
    <xf numFmtId="0" fontId="19" fillId="9" borderId="3" xfId="0" applyFont="1" applyFill="1" applyBorder="1" applyAlignment="1">
      <alignment horizontal="center" vertical="center" wrapText="1"/>
    </xf>
    <xf numFmtId="0" fontId="19" fillId="9" borderId="3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 vertical="center" wrapText="1"/>
    </xf>
    <xf numFmtId="0" fontId="22" fillId="9" borderId="3" xfId="0" applyFont="1" applyFill="1" applyBorder="1"/>
    <xf numFmtId="2" fontId="44" fillId="2" borderId="3" xfId="0" applyNumberFormat="1" applyFont="1" applyFill="1" applyBorder="1"/>
    <xf numFmtId="0" fontId="0" fillId="9" borderId="0" xfId="0" applyFill="1"/>
    <xf numFmtId="0" fontId="30" fillId="0" borderId="0" xfId="0" applyFont="1" applyFill="1"/>
    <xf numFmtId="0" fontId="30" fillId="0" borderId="0" xfId="0" applyFont="1" applyFill="1" applyBorder="1"/>
    <xf numFmtId="0" fontId="2" fillId="0" borderId="0" xfId="0" applyFont="1" applyFill="1" applyAlignment="1">
      <alignment horizontal="right"/>
    </xf>
    <xf numFmtId="0" fontId="2" fillId="0" borderId="0" xfId="0" applyFont="1" applyFill="1"/>
    <xf numFmtId="0" fontId="2" fillId="0" borderId="0" xfId="0" applyFont="1" applyFill="1" applyBorder="1"/>
    <xf numFmtId="0" fontId="0" fillId="0" borderId="42" xfId="0" applyBorder="1"/>
    <xf numFmtId="2" fontId="0" fillId="0" borderId="0" xfId="0" applyNumberFormat="1" applyFill="1"/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164" fontId="0" fillId="0" borderId="0" xfId="0" applyNumberFormat="1" applyFill="1"/>
    <xf numFmtId="0" fontId="0" fillId="0" borderId="0" xfId="0" applyFont="1"/>
    <xf numFmtId="0" fontId="33" fillId="6" borderId="1" xfId="0" applyFont="1" applyFill="1" applyBorder="1" applyAlignment="1">
      <alignment vertical="center" wrapText="1"/>
    </xf>
    <xf numFmtId="0" fontId="0" fillId="6" borderId="1" xfId="0" applyFill="1" applyBorder="1"/>
    <xf numFmtId="0" fontId="34" fillId="6" borderId="1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0" borderId="12" xfId="0" applyFont="1" applyFill="1" applyBorder="1"/>
    <xf numFmtId="0" fontId="11" fillId="10" borderId="0" xfId="0" applyFont="1" applyFill="1"/>
    <xf numFmtId="0" fontId="42" fillId="0" borderId="20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 wrapText="1"/>
    </xf>
    <xf numFmtId="165" fontId="0" fillId="0" borderId="0" xfId="0" applyNumberFormat="1" applyBorder="1"/>
    <xf numFmtId="0" fontId="11" fillId="6" borderId="0" xfId="0" applyFont="1" applyFill="1" applyBorder="1" applyAlignment="1">
      <alignment horizontal="center" vertical="center" wrapText="1"/>
    </xf>
    <xf numFmtId="1" fontId="0" fillId="0" borderId="0" xfId="0" applyNumberFormat="1" applyFill="1" applyBorder="1"/>
    <xf numFmtId="0" fontId="42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20" xfId="0" applyFont="1" applyBorder="1" applyAlignment="1">
      <alignment horizontal="center" wrapText="1"/>
    </xf>
    <xf numFmtId="0" fontId="16" fillId="6" borderId="1" xfId="0" applyFont="1" applyFill="1" applyBorder="1"/>
    <xf numFmtId="0" fontId="16" fillId="6" borderId="1" xfId="0" applyFont="1" applyFill="1" applyBorder="1" applyAlignment="1">
      <alignment horizontal="center" vertical="center" wrapText="1"/>
    </xf>
    <xf numFmtId="0" fontId="16" fillId="6" borderId="20" xfId="0" applyFont="1" applyFill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" xfId="0" applyFont="1" applyBorder="1"/>
    <xf numFmtId="0" fontId="16" fillId="0" borderId="1" xfId="0" applyFont="1" applyBorder="1"/>
    <xf numFmtId="0" fontId="16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 vertical="center"/>
    </xf>
    <xf numFmtId="0" fontId="42" fillId="0" borderId="1" xfId="0" applyFont="1" applyBorder="1"/>
    <xf numFmtId="2" fontId="16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wrapText="1"/>
    </xf>
    <xf numFmtId="0" fontId="16" fillId="6" borderId="1" xfId="0" applyFont="1" applyFill="1" applyBorder="1" applyAlignment="1">
      <alignment horizontal="center"/>
    </xf>
    <xf numFmtId="2" fontId="16" fillId="6" borderId="1" xfId="0" applyNumberFormat="1" applyFont="1" applyFill="1" applyBorder="1" applyAlignment="1">
      <alignment horizontal="center"/>
    </xf>
    <xf numFmtId="0" fontId="42" fillId="0" borderId="1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wrapText="1"/>
    </xf>
    <xf numFmtId="0" fontId="42" fillId="6" borderId="1" xfId="0" applyFont="1" applyFill="1" applyBorder="1" applyAlignment="1">
      <alignment horizontal="center" vertical="center" wrapText="1"/>
    </xf>
    <xf numFmtId="2" fontId="16" fillId="0" borderId="1" xfId="0" applyNumberFormat="1" applyFont="1" applyBorder="1" applyAlignment="1">
      <alignment horizontal="center" vertical="center"/>
    </xf>
    <xf numFmtId="0" fontId="42" fillId="0" borderId="0" xfId="0" applyFont="1" applyAlignment="1">
      <alignment wrapText="1"/>
    </xf>
    <xf numFmtId="0" fontId="16" fillId="0" borderId="1" xfId="0" applyFont="1" applyBorder="1" applyAlignment="1">
      <alignment horizontal="left" wrapText="1"/>
    </xf>
    <xf numFmtId="0" fontId="42" fillId="0" borderId="27" xfId="0" applyFont="1" applyBorder="1" applyAlignment="1">
      <alignment horizontal="left"/>
    </xf>
    <xf numFmtId="2" fontId="16" fillId="0" borderId="1" xfId="0" applyNumberFormat="1" applyFont="1" applyBorder="1" applyAlignment="1">
      <alignment horizontal="center" wrapText="1"/>
    </xf>
    <xf numFmtId="0" fontId="51" fillId="6" borderId="1" xfId="0" applyFont="1" applyFill="1" applyBorder="1" applyAlignment="1">
      <alignment horizontal="center" vertical="center" wrapText="1"/>
    </xf>
    <xf numFmtId="2" fontId="51" fillId="6" borderId="1" xfId="0" applyNumberFormat="1" applyFont="1" applyFill="1" applyBorder="1" applyAlignment="1">
      <alignment horizontal="center" vertical="center" wrapText="1"/>
    </xf>
    <xf numFmtId="0" fontId="52" fillId="0" borderId="1" xfId="2" applyFont="1" applyBorder="1" applyAlignment="1">
      <alignment horizontal="center" wrapText="1"/>
    </xf>
    <xf numFmtId="0" fontId="52" fillId="0" borderId="1" xfId="2" applyFont="1" applyBorder="1"/>
    <xf numFmtId="2" fontId="41" fillId="11" borderId="1" xfId="0" applyNumberFormat="1" applyFont="1" applyFill="1" applyBorder="1"/>
    <xf numFmtId="0" fontId="41" fillId="11" borderId="1" xfId="0" applyFont="1" applyFill="1" applyBorder="1"/>
    <xf numFmtId="0" fontId="41" fillId="11" borderId="1" xfId="0" applyFont="1" applyFill="1" applyBorder="1" applyAlignment="1">
      <alignment horizontal="center"/>
    </xf>
    <xf numFmtId="0" fontId="19" fillId="4" borderId="1" xfId="0" applyFont="1" applyFill="1" applyBorder="1" applyAlignment="1">
      <alignment horizontal="center" vertical="center" wrapText="1"/>
    </xf>
    <xf numFmtId="4" fontId="41" fillId="11" borderId="1" xfId="0" applyNumberFormat="1" applyFont="1" applyFill="1" applyBorder="1"/>
    <xf numFmtId="10" fontId="53" fillId="0" borderId="4" xfId="0" applyNumberFormat="1" applyFont="1" applyBorder="1" applyAlignment="1">
      <alignment horizontal="center"/>
    </xf>
    <xf numFmtId="166" fontId="11" fillId="0" borderId="24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166" fontId="11" fillId="0" borderId="10" xfId="0" applyNumberFormat="1" applyFont="1" applyFill="1" applyBorder="1" applyAlignment="1">
      <alignment horizontal="center" vertical="center" wrapText="1"/>
    </xf>
    <xf numFmtId="166" fontId="11" fillId="0" borderId="16" xfId="0" applyNumberFormat="1" applyFont="1" applyFill="1" applyBorder="1" applyAlignment="1">
      <alignment horizontal="center" vertical="center" wrapText="1"/>
    </xf>
    <xf numFmtId="166" fontId="11" fillId="0" borderId="25" xfId="0" applyNumberFormat="1" applyFont="1" applyFill="1" applyBorder="1" applyAlignment="1">
      <alignment horizontal="center" vertical="center" wrapText="1"/>
    </xf>
    <xf numFmtId="165" fontId="11" fillId="0" borderId="10" xfId="0" applyNumberFormat="1" applyFont="1" applyFill="1" applyBorder="1" applyAlignment="1">
      <alignment horizontal="center" vertical="center" wrapText="1"/>
    </xf>
    <xf numFmtId="165" fontId="48" fillId="0" borderId="10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164" fontId="11" fillId="0" borderId="10" xfId="0" applyNumberFormat="1" applyFont="1" applyFill="1" applyBorder="1" applyAlignment="1">
      <alignment horizontal="center" vertical="center" wrapText="1"/>
    </xf>
    <xf numFmtId="164" fontId="11" fillId="0" borderId="44" xfId="0" applyNumberFormat="1" applyFont="1" applyFill="1" applyBorder="1" applyAlignment="1">
      <alignment horizontal="center" vertical="center" wrapText="1"/>
    </xf>
    <xf numFmtId="165" fontId="11" fillId="0" borderId="12" xfId="0" applyNumberFormat="1" applyFont="1" applyFill="1" applyBorder="1" applyAlignment="1">
      <alignment horizontal="center"/>
    </xf>
    <xf numFmtId="165" fontId="11" fillId="0" borderId="0" xfId="0" applyNumberFormat="1" applyFont="1" applyFill="1" applyAlignment="1">
      <alignment horizontal="center"/>
    </xf>
    <xf numFmtId="0" fontId="11" fillId="0" borderId="12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2" fontId="11" fillId="0" borderId="10" xfId="0" applyNumberFormat="1" applyFont="1" applyFill="1" applyBorder="1" applyAlignment="1">
      <alignment horizontal="center" vertical="center" wrapText="1"/>
    </xf>
    <xf numFmtId="0" fontId="11" fillId="0" borderId="4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164" fontId="2" fillId="0" borderId="10" xfId="0" applyNumberFormat="1" applyFont="1" applyFill="1" applyBorder="1" applyAlignment="1">
      <alignment horizontal="left" vertical="center" wrapText="1"/>
    </xf>
    <xf numFmtId="1" fontId="11" fillId="0" borderId="10" xfId="0" applyNumberFormat="1" applyFont="1" applyFill="1" applyBorder="1" applyAlignment="1">
      <alignment horizontal="center" vertical="center" wrapText="1"/>
    </xf>
    <xf numFmtId="1" fontId="48" fillId="0" borderId="10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 wrapText="1"/>
    </xf>
    <xf numFmtId="167" fontId="11" fillId="0" borderId="11" xfId="0" applyNumberFormat="1" applyFont="1" applyFill="1" applyBorder="1" applyAlignment="1">
      <alignment horizontal="center" vertical="center" wrapText="1"/>
    </xf>
    <xf numFmtId="168" fontId="11" fillId="0" borderId="10" xfId="1" applyNumberFormat="1" applyFont="1" applyFill="1" applyBorder="1" applyAlignment="1">
      <alignment horizontal="left" vertical="center" wrapText="1"/>
    </xf>
    <xf numFmtId="2" fontId="3" fillId="0" borderId="10" xfId="0" applyNumberFormat="1" applyFont="1" applyFill="1" applyBorder="1" applyAlignment="1">
      <alignment horizontal="center" vertical="center" wrapText="1"/>
    </xf>
    <xf numFmtId="164" fontId="11" fillId="0" borderId="10" xfId="0" applyNumberFormat="1" applyFont="1" applyFill="1" applyBorder="1" applyAlignment="1">
      <alignment horizontal="left" vertical="center" wrapText="1"/>
    </xf>
    <xf numFmtId="169" fontId="11" fillId="0" borderId="10" xfId="1" applyNumberFormat="1" applyFont="1" applyFill="1" applyBorder="1" applyAlignment="1">
      <alignment vertical="center" wrapText="1"/>
    </xf>
    <xf numFmtId="165" fontId="3" fillId="0" borderId="16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48" fillId="0" borderId="10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2" fontId="3" fillId="0" borderId="16" xfId="0" applyNumberFormat="1" applyFont="1" applyFill="1" applyBorder="1" applyAlignment="1">
      <alignment horizontal="center" vertical="center" wrapText="1"/>
    </xf>
    <xf numFmtId="164" fontId="3" fillId="0" borderId="16" xfId="0" applyNumberFormat="1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2" fontId="11" fillId="0" borderId="18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vertical="center" wrapText="1"/>
    </xf>
    <xf numFmtId="165" fontId="11" fillId="0" borderId="10" xfId="0" applyNumberFormat="1" applyFont="1" applyFill="1" applyBorder="1" applyAlignment="1">
      <alignment vertical="center" wrapText="1"/>
    </xf>
    <xf numFmtId="164" fontId="2" fillId="0" borderId="17" xfId="0" applyNumberFormat="1" applyFont="1" applyFill="1" applyBorder="1" applyAlignment="1">
      <alignment horizontal="left" vertical="center" wrapText="1"/>
    </xf>
    <xf numFmtId="0" fontId="11" fillId="0" borderId="0" xfId="0" applyFont="1" applyFill="1" applyAlignment="1">
      <alignment vertical="center"/>
    </xf>
    <xf numFmtId="164" fontId="3" fillId="0" borderId="45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19" fillId="12" borderId="3" xfId="0" applyFont="1" applyFill="1" applyBorder="1" applyAlignment="1">
      <alignment horizontal="center"/>
    </xf>
    <xf numFmtId="0" fontId="19" fillId="12" borderId="4" xfId="0" applyFont="1" applyFill="1" applyBorder="1" applyAlignment="1">
      <alignment horizontal="center"/>
    </xf>
    <xf numFmtId="0" fontId="19" fillId="12" borderId="41" xfId="0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/>
    <xf numFmtId="1" fontId="3" fillId="0" borderId="1" xfId="0" applyNumberFormat="1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wrapText="1"/>
    </xf>
    <xf numFmtId="0" fontId="50" fillId="0" borderId="1" xfId="0" applyFont="1" applyFill="1" applyBorder="1" applyAlignment="1">
      <alignment horizontal="center"/>
    </xf>
    <xf numFmtId="0" fontId="46" fillId="0" borderId="1" xfId="0" applyFont="1" applyFill="1" applyBorder="1"/>
    <xf numFmtId="0" fontId="11" fillId="0" borderId="17" xfId="0" applyFont="1" applyFill="1" applyBorder="1" applyAlignment="1">
      <alignment horizontal="left" vertical="center" wrapText="1"/>
    </xf>
    <xf numFmtId="2" fontId="2" fillId="0" borderId="17" xfId="0" applyNumberFormat="1" applyFont="1" applyFill="1" applyBorder="1" applyAlignment="1">
      <alignment horizontal="left" vertical="center" wrapText="1"/>
    </xf>
    <xf numFmtId="166" fontId="11" fillId="0" borderId="17" xfId="0" applyNumberFormat="1" applyFont="1" applyFill="1" applyBorder="1" applyAlignment="1">
      <alignment horizontal="center" vertical="center" wrapText="1"/>
    </xf>
    <xf numFmtId="167" fontId="11" fillId="0" borderId="17" xfId="0" applyNumberFormat="1" applyFont="1" applyFill="1" applyBorder="1" applyAlignment="1">
      <alignment horizontal="center" vertical="center" wrapText="1"/>
    </xf>
    <xf numFmtId="0" fontId="55" fillId="0" borderId="0" xfId="0" applyFont="1"/>
    <xf numFmtId="0" fontId="11" fillId="0" borderId="0" xfId="0" applyFont="1" applyFill="1"/>
    <xf numFmtId="0" fontId="16" fillId="10" borderId="0" xfId="0" applyFont="1" applyFill="1"/>
    <xf numFmtId="0" fontId="0" fillId="0" borderId="0" xfId="0" applyFont="1" applyAlignment="1">
      <alignment wrapText="1"/>
    </xf>
    <xf numFmtId="0" fontId="0" fillId="0" borderId="1" xfId="0" applyFont="1" applyFill="1" applyBorder="1" applyAlignment="1">
      <alignment horizontal="right"/>
    </xf>
    <xf numFmtId="0" fontId="0" fillId="0" borderId="1" xfId="0" applyFont="1" applyFill="1" applyBorder="1"/>
    <xf numFmtId="0" fontId="0" fillId="10" borderId="1" xfId="0" applyFont="1" applyFill="1" applyBorder="1"/>
    <xf numFmtId="0" fontId="0" fillId="0" borderId="12" xfId="0" applyFont="1" applyFill="1" applyBorder="1"/>
    <xf numFmtId="0" fontId="11" fillId="0" borderId="1" xfId="0" applyFont="1" applyFill="1" applyBorder="1" applyAlignment="1">
      <alignment horizontal="left" vertical="center" wrapText="1"/>
    </xf>
    <xf numFmtId="2" fontId="0" fillId="10" borderId="1" xfId="0" applyNumberFormat="1" applyFont="1" applyFill="1" applyBorder="1"/>
    <xf numFmtId="1" fontId="0" fillId="0" borderId="23" xfId="0" applyNumberFormat="1" applyFont="1" applyFill="1" applyBorder="1"/>
    <xf numFmtId="1" fontId="0" fillId="7" borderId="1" xfId="0" applyNumberFormat="1" applyFont="1" applyFill="1" applyBorder="1"/>
    <xf numFmtId="3" fontId="0" fillId="0" borderId="0" xfId="0" applyNumberFormat="1" applyFont="1"/>
    <xf numFmtId="1" fontId="0" fillId="7" borderId="0" xfId="0" applyNumberFormat="1" applyFont="1" applyFill="1"/>
    <xf numFmtId="2" fontId="0" fillId="10" borderId="0" xfId="0" applyNumberFormat="1" applyFont="1" applyFill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1" xfId="0" applyFont="1" applyFill="1" applyBorder="1" applyAlignment="1">
      <alignment horizontal="left" vertical="center" wrapText="1"/>
    </xf>
    <xf numFmtId="0" fontId="0" fillId="0" borderId="0" xfId="0" applyFont="1" applyFill="1"/>
    <xf numFmtId="1" fontId="0" fillId="0" borderId="0" xfId="0" applyNumberFormat="1" applyFont="1" applyFill="1"/>
    <xf numFmtId="0" fontId="3" fillId="0" borderId="1" xfId="0" applyFont="1" applyFill="1" applyBorder="1" applyAlignment="1">
      <alignment horizontal="left" vertical="center" wrapText="1"/>
    </xf>
    <xf numFmtId="0" fontId="33" fillId="0" borderId="43" xfId="0" applyFont="1" applyFill="1" applyBorder="1" applyAlignment="1">
      <alignment vertical="center" wrapText="1"/>
    </xf>
    <xf numFmtId="0" fontId="47" fillId="0" borderId="1" xfId="0" applyFont="1" applyFill="1" applyBorder="1"/>
    <xf numFmtId="2" fontId="3" fillId="7" borderId="1" xfId="0" applyNumberFormat="1" applyFont="1" applyFill="1" applyBorder="1" applyAlignment="1">
      <alignment horizontal="center" vertical="center" wrapText="1"/>
    </xf>
    <xf numFmtId="2" fontId="47" fillId="0" borderId="1" xfId="0" applyNumberFormat="1" applyFont="1" applyBorder="1"/>
    <xf numFmtId="10" fontId="0" fillId="0" borderId="0" xfId="0" applyNumberFormat="1" applyFont="1"/>
    <xf numFmtId="0" fontId="30" fillId="8" borderId="0" xfId="0" applyFont="1" applyFill="1"/>
    <xf numFmtId="166" fontId="47" fillId="6" borderId="0" xfId="0" applyNumberFormat="1" applyFont="1" applyFill="1"/>
    <xf numFmtId="2" fontId="3" fillId="6" borderId="10" xfId="0" applyNumberFormat="1" applyFont="1" applyFill="1" applyBorder="1" applyAlignment="1">
      <alignment horizontal="center" vertical="center" wrapText="1"/>
    </xf>
    <xf numFmtId="166" fontId="3" fillId="6" borderId="10" xfId="0" applyNumberFormat="1" applyFont="1" applyFill="1" applyBorder="1" applyAlignment="1">
      <alignment horizontal="center" vertical="center" wrapText="1"/>
    </xf>
    <xf numFmtId="2" fontId="3" fillId="6" borderId="1" xfId="0" applyNumberFormat="1" applyFont="1" applyFill="1" applyBorder="1" applyAlignment="1">
      <alignment horizontal="center" vertical="center" wrapText="1"/>
    </xf>
    <xf numFmtId="0" fontId="16" fillId="0" borderId="1" xfId="2" applyFont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23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4" fillId="4" borderId="28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 wrapText="1"/>
    </xf>
    <xf numFmtId="0" fontId="4" fillId="4" borderId="4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43" xfId="0" applyFont="1" applyFill="1" applyBorder="1" applyAlignment="1">
      <alignment horizontal="center" vertical="center" wrapText="1"/>
    </xf>
    <xf numFmtId="0" fontId="19" fillId="0" borderId="7" xfId="0" applyFont="1" applyFill="1" applyBorder="1"/>
    <xf numFmtId="0" fontId="19" fillId="0" borderId="0" xfId="0" applyFont="1" applyFill="1" applyBorder="1"/>
    <xf numFmtId="0" fontId="21" fillId="0" borderId="29" xfId="0" applyFont="1" applyBorder="1" applyAlignment="1">
      <alignment vertical="center" wrapText="1"/>
    </xf>
    <xf numFmtId="0" fontId="19" fillId="4" borderId="13" xfId="0" applyFont="1" applyFill="1" applyBorder="1" applyAlignment="1">
      <alignment horizontal="center" vertical="center" wrapText="1"/>
    </xf>
    <xf numFmtId="0" fontId="20" fillId="5" borderId="30" xfId="0" applyFont="1" applyFill="1" applyBorder="1" applyAlignment="1">
      <alignment horizontal="center"/>
    </xf>
    <xf numFmtId="0" fontId="20" fillId="5" borderId="29" xfId="0" applyFont="1" applyFill="1" applyBorder="1" applyAlignment="1">
      <alignment horizontal="center"/>
    </xf>
    <xf numFmtId="0" fontId="20" fillId="4" borderId="4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 wrapText="1"/>
    </xf>
    <xf numFmtId="0" fontId="20" fillId="4" borderId="40" xfId="0" applyFont="1" applyFill="1" applyBorder="1" applyAlignment="1">
      <alignment horizontal="center" vertical="justify" wrapText="1"/>
    </xf>
    <xf numFmtId="0" fontId="20" fillId="4" borderId="0" xfId="0" applyFont="1" applyFill="1" applyBorder="1" applyAlignment="1">
      <alignment horizontal="center" vertical="justify" wrapText="1"/>
    </xf>
    <xf numFmtId="0" fontId="20" fillId="4" borderId="30" xfId="0" applyFont="1" applyFill="1" applyBorder="1" applyAlignment="1">
      <alignment horizontal="center" wrapText="1"/>
    </xf>
    <xf numFmtId="0" fontId="20" fillId="4" borderId="29" xfId="0" applyFont="1" applyFill="1" applyBorder="1" applyAlignment="1">
      <alignment horizontal="center" wrapText="1"/>
    </xf>
    <xf numFmtId="0" fontId="32" fillId="0" borderId="0" xfId="0" applyFont="1" applyFill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4" borderId="23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/>
    </xf>
    <xf numFmtId="0" fontId="19" fillId="4" borderId="27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4" borderId="40" xfId="0" applyFont="1" applyFill="1" applyBorder="1" applyAlignment="1">
      <alignment horizontal="center" vertical="center" wrapText="1"/>
    </xf>
    <xf numFmtId="0" fontId="19" fillId="4" borderId="0" xfId="0" applyFont="1" applyFill="1" applyBorder="1" applyAlignment="1">
      <alignment horizontal="center" vertical="center" wrapText="1"/>
    </xf>
    <xf numFmtId="0" fontId="45" fillId="0" borderId="0" xfId="0" applyFont="1" applyAlignment="1">
      <alignment wrapText="1"/>
    </xf>
    <xf numFmtId="0" fontId="3" fillId="0" borderId="0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54" fillId="0" borderId="23" xfId="0" applyFont="1" applyBorder="1" applyAlignment="1">
      <alignment horizontal="center" vertical="center" wrapText="1"/>
    </xf>
    <xf numFmtId="0" fontId="54" fillId="0" borderId="27" xfId="0" applyFont="1" applyBorder="1" applyAlignment="1">
      <alignment horizontal="center" vertical="center" wrapText="1"/>
    </xf>
    <xf numFmtId="0" fontId="11" fillId="4" borderId="28" xfId="0" applyFont="1" applyFill="1" applyBorder="1" applyAlignment="1">
      <alignment horizontal="center" vertical="center" wrapText="1"/>
    </xf>
    <xf numFmtId="0" fontId="11" fillId="4" borderId="29" xfId="0" applyFont="1" applyFill="1" applyBorder="1" applyAlignment="1">
      <alignment horizontal="center" vertical="center" wrapText="1"/>
    </xf>
    <xf numFmtId="0" fontId="11" fillId="4" borderId="35" xfId="0" applyFont="1" applyFill="1" applyBorder="1" applyAlignment="1">
      <alignment horizontal="center" vertical="center" wrapText="1"/>
    </xf>
    <xf numFmtId="0" fontId="11" fillId="4" borderId="36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37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12" fillId="0" borderId="0" xfId="0" applyFont="1" applyAlignment="1">
      <alignment horizontal="right" vertical="center"/>
    </xf>
    <xf numFmtId="0" fontId="16" fillId="3" borderId="1" xfId="0" applyFont="1" applyFill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12" xfId="0" applyFont="1" applyBorder="1" applyAlignment="1">
      <alignment horizontal="center"/>
    </xf>
    <xf numFmtId="0" fontId="33" fillId="0" borderId="20" xfId="0" applyFont="1" applyBorder="1" applyAlignment="1">
      <alignment horizontal="center"/>
    </xf>
    <xf numFmtId="0" fontId="16" fillId="0" borderId="21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3" borderId="33" xfId="0" applyFont="1" applyFill="1" applyBorder="1" applyAlignment="1">
      <alignment horizontal="center" vertical="center" wrapText="1"/>
    </xf>
    <xf numFmtId="0" fontId="16" fillId="3" borderId="34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right" vertical="center" wrapText="1"/>
    </xf>
    <xf numFmtId="0" fontId="0" fillId="0" borderId="0" xfId="0" applyAlignment="1"/>
    <xf numFmtId="0" fontId="16" fillId="0" borderId="1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36" fillId="4" borderId="21" xfId="0" applyFont="1" applyFill="1" applyBorder="1" applyAlignment="1">
      <alignment horizontal="center" vertical="center" wrapText="1"/>
    </xf>
    <xf numFmtId="0" fontId="36" fillId="4" borderId="20" xfId="0" applyFont="1" applyFill="1" applyBorder="1" applyAlignment="1">
      <alignment horizontal="center" vertical="center" wrapText="1"/>
    </xf>
    <xf numFmtId="0" fontId="36" fillId="4" borderId="1" xfId="0" applyFont="1" applyFill="1" applyBorder="1" applyAlignment="1">
      <alignment horizontal="center" vertical="center" wrapText="1"/>
    </xf>
    <xf numFmtId="0" fontId="16" fillId="0" borderId="1" xfId="0" applyFont="1" applyBorder="1"/>
    <xf numFmtId="0" fontId="16" fillId="6" borderId="21" xfId="0" applyFont="1" applyFill="1" applyBorder="1" applyAlignment="1">
      <alignment wrapText="1"/>
    </xf>
    <xf numFmtId="0" fontId="42" fillId="6" borderId="12" xfId="0" applyFont="1" applyFill="1" applyBorder="1" applyAlignment="1"/>
    <xf numFmtId="0" fontId="42" fillId="6" borderId="20" xfId="0" applyFont="1" applyFill="1" applyBorder="1" applyAlignment="1"/>
    <xf numFmtId="0" fontId="16" fillId="6" borderId="1" xfId="0" applyFont="1" applyFill="1" applyBorder="1" applyAlignment="1">
      <alignment horizontal="center" vertical="center" wrapText="1"/>
    </xf>
    <xf numFmtId="0" fontId="16" fillId="0" borderId="21" xfId="0" applyFont="1" applyBorder="1" applyAlignment="1">
      <alignment wrapText="1"/>
    </xf>
    <xf numFmtId="0" fontId="42" fillId="0" borderId="12" xfId="0" applyFont="1" applyBorder="1" applyAlignment="1">
      <alignment wrapText="1"/>
    </xf>
    <xf numFmtId="0" fontId="42" fillId="0" borderId="20" xfId="0" applyFont="1" applyBorder="1" applyAlignment="1">
      <alignment wrapText="1"/>
    </xf>
    <xf numFmtId="0" fontId="42" fillId="0" borderId="21" xfId="0" applyFont="1" applyBorder="1" applyAlignment="1">
      <alignment wrapText="1"/>
    </xf>
    <xf numFmtId="0" fontId="16" fillId="0" borderId="12" xfId="0" applyFont="1" applyBorder="1" applyAlignment="1">
      <alignment wrapText="1"/>
    </xf>
    <xf numFmtId="0" fontId="16" fillId="0" borderId="1" xfId="0" applyFont="1" applyBorder="1" applyAlignment="1"/>
    <xf numFmtId="0" fontId="42" fillId="0" borderId="1" xfId="0" applyFont="1" applyBorder="1" applyAlignment="1"/>
    <xf numFmtId="0" fontId="42" fillId="0" borderId="21" xfId="0" applyFont="1" applyBorder="1" applyAlignment="1">
      <alignment horizontal="center" vertical="center" wrapText="1"/>
    </xf>
    <xf numFmtId="0" fontId="42" fillId="0" borderId="12" xfId="0" applyFont="1" applyBorder="1" applyAlignment="1">
      <alignment horizontal="center" vertical="center" wrapText="1"/>
    </xf>
    <xf numFmtId="0" fontId="42" fillId="0" borderId="20" xfId="0" applyFont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42" fillId="0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42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/>
    </xf>
    <xf numFmtId="0" fontId="42" fillId="6" borderId="1" xfId="0" applyFont="1" applyFill="1" applyBorder="1" applyAlignment="1">
      <alignment horizontal="center" vertical="center"/>
    </xf>
    <xf numFmtId="0" fontId="42" fillId="6" borderId="1" xfId="0" applyFont="1" applyFill="1" applyBorder="1" applyAlignment="1">
      <alignment horizontal="center" vertical="center" wrapText="1"/>
    </xf>
    <xf numFmtId="0" fontId="16" fillId="0" borderId="21" xfId="0" applyFont="1" applyBorder="1" applyAlignment="1"/>
    <xf numFmtId="0" fontId="16" fillId="0" borderId="12" xfId="0" applyFont="1" applyBorder="1" applyAlignment="1"/>
    <xf numFmtId="0" fontId="16" fillId="0" borderId="20" xfId="0" applyFont="1" applyBorder="1" applyAlignment="1"/>
    <xf numFmtId="0" fontId="42" fillId="6" borderId="21" xfId="0" applyFont="1" applyFill="1" applyBorder="1" applyAlignment="1">
      <alignment horizontal="center" vertical="center" wrapText="1"/>
    </xf>
    <xf numFmtId="0" fontId="42" fillId="6" borderId="12" xfId="0" applyFont="1" applyFill="1" applyBorder="1" applyAlignment="1">
      <alignment horizontal="center" vertical="center" wrapText="1"/>
    </xf>
    <xf numFmtId="0" fontId="42" fillId="6" borderId="20" xfId="0" applyFont="1" applyFill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top" wrapText="1"/>
    </xf>
    <xf numFmtId="0" fontId="42" fillId="0" borderId="12" xfId="0" applyFont="1" applyBorder="1" applyAlignment="1">
      <alignment horizontal="center" vertical="top" wrapText="1"/>
    </xf>
    <xf numFmtId="0" fontId="42" fillId="0" borderId="20" xfId="0" applyFont="1" applyBorder="1" applyAlignment="1">
      <alignment horizontal="center" vertical="top" wrapText="1"/>
    </xf>
    <xf numFmtId="0" fontId="42" fillId="0" borderId="21" xfId="0" applyFont="1" applyFill="1" applyBorder="1" applyAlignment="1">
      <alignment horizontal="center" vertical="center" wrapText="1"/>
    </xf>
    <xf numFmtId="0" fontId="42" fillId="0" borderId="12" xfId="0" applyFont="1" applyFill="1" applyBorder="1" applyAlignment="1">
      <alignment horizontal="center" vertical="center" wrapText="1"/>
    </xf>
    <xf numFmtId="0" fontId="42" fillId="0" borderId="20" xfId="0" applyFont="1" applyFill="1" applyBorder="1" applyAlignment="1">
      <alignment horizontal="center" vertical="center" wrapText="1"/>
    </xf>
    <xf numFmtId="0" fontId="42" fillId="0" borderId="23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left"/>
    </xf>
    <xf numFmtId="0" fontId="33" fillId="0" borderId="1" xfId="0" applyFont="1" applyBorder="1"/>
    <xf numFmtId="0" fontId="28" fillId="11" borderId="1" xfId="0" applyFont="1" applyFill="1" applyBorder="1" applyAlignment="1">
      <alignment horizontal="left" vertical="center"/>
    </xf>
    <xf numFmtId="0" fontId="16" fillId="3" borderId="31" xfId="0" applyFont="1" applyFill="1" applyBorder="1" applyAlignment="1">
      <alignment horizontal="center" vertical="center" wrapText="1"/>
    </xf>
    <xf numFmtId="0" fontId="16" fillId="3" borderId="32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  <colors>
    <mruColors>
      <color rgb="FF00FF99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50"/>
    <pageSetUpPr fitToPage="1"/>
  </sheetPr>
  <dimension ref="A1:O170"/>
  <sheetViews>
    <sheetView tabSelected="1" view="pageBreakPreview" zoomScale="75" zoomScaleNormal="75" workbookViewId="0">
      <selection sqref="A1:I2"/>
    </sheetView>
  </sheetViews>
  <sheetFormatPr defaultRowHeight="18.75" x14ac:dyDescent="0.3"/>
  <cols>
    <col min="1" max="1" width="74.7109375" customWidth="1"/>
    <col min="2" max="2" width="15.140625" customWidth="1"/>
    <col min="3" max="3" width="14.140625" style="191" customWidth="1"/>
    <col min="4" max="4" width="13" customWidth="1"/>
    <col min="5" max="5" width="16.5703125" customWidth="1"/>
    <col min="6" max="6" width="17.140625" customWidth="1"/>
    <col min="7" max="7" width="18.85546875" customWidth="1"/>
    <col min="8" max="8" width="16.42578125" customWidth="1"/>
    <col min="9" max="9" width="15.5703125" bestFit="1" customWidth="1"/>
    <col min="10" max="10" width="12" customWidth="1"/>
    <col min="11" max="11" width="15.42578125" customWidth="1"/>
    <col min="12" max="12" width="16.140625" customWidth="1"/>
    <col min="13" max="16" width="9.140625" customWidth="1"/>
  </cols>
  <sheetData>
    <row r="1" spans="1:9" ht="21" customHeight="1" x14ac:dyDescent="0.2">
      <c r="A1" s="331" t="s">
        <v>451</v>
      </c>
      <c r="B1" s="332"/>
      <c r="C1" s="332"/>
      <c r="D1" s="332"/>
      <c r="E1" s="332"/>
      <c r="F1" s="332"/>
      <c r="G1" s="332"/>
      <c r="H1" s="332"/>
      <c r="I1" s="332"/>
    </row>
    <row r="2" spans="1:9" ht="54" customHeight="1" x14ac:dyDescent="0.2">
      <c r="A2" s="332"/>
      <c r="B2" s="332"/>
      <c r="C2" s="332"/>
      <c r="D2" s="332"/>
      <c r="E2" s="332"/>
      <c r="F2" s="332"/>
      <c r="G2" s="332"/>
      <c r="H2" s="332"/>
      <c r="I2" s="332"/>
    </row>
    <row r="3" spans="1:9" ht="51" customHeight="1" x14ac:dyDescent="0.2">
      <c r="A3" s="329" t="s">
        <v>443</v>
      </c>
      <c r="B3" s="329"/>
      <c r="C3" s="329"/>
      <c r="D3" s="329"/>
      <c r="E3" s="329"/>
      <c r="F3" s="329"/>
      <c r="G3" s="329"/>
      <c r="H3" s="329"/>
      <c r="I3" s="329"/>
    </row>
    <row r="4" spans="1:9" ht="14.25" customHeight="1" x14ac:dyDescent="0.2">
      <c r="A4" s="194"/>
      <c r="B4" s="194"/>
      <c r="C4" s="193"/>
      <c r="D4" s="194"/>
      <c r="E4" s="194"/>
      <c r="F4" s="194"/>
      <c r="G4" s="194"/>
      <c r="H4" s="40"/>
      <c r="I4" s="40"/>
    </row>
    <row r="5" spans="1:9" ht="21" customHeight="1" x14ac:dyDescent="0.2">
      <c r="A5" s="328" t="s">
        <v>3</v>
      </c>
      <c r="B5" s="330" t="s">
        <v>4</v>
      </c>
      <c r="C5" s="328" t="s">
        <v>282</v>
      </c>
      <c r="D5" s="328" t="s">
        <v>408</v>
      </c>
      <c r="E5" s="328" t="s">
        <v>409</v>
      </c>
      <c r="F5" s="328" t="s">
        <v>60</v>
      </c>
      <c r="G5" s="328"/>
      <c r="H5" s="328"/>
      <c r="I5" s="328"/>
    </row>
    <row r="6" spans="1:9" ht="33" customHeight="1" x14ac:dyDescent="0.2">
      <c r="A6" s="328"/>
      <c r="B6" s="330"/>
      <c r="C6" s="328"/>
      <c r="D6" s="328"/>
      <c r="E6" s="328"/>
      <c r="F6" s="328" t="s">
        <v>280</v>
      </c>
      <c r="G6" s="328"/>
      <c r="H6" s="328" t="s">
        <v>283</v>
      </c>
      <c r="I6" s="328" t="s">
        <v>405</v>
      </c>
    </row>
    <row r="7" spans="1:9" ht="55.5" customHeight="1" x14ac:dyDescent="0.2">
      <c r="A7" s="328"/>
      <c r="B7" s="330"/>
      <c r="C7" s="328"/>
      <c r="D7" s="328"/>
      <c r="E7" s="328"/>
      <c r="F7" s="124" t="s">
        <v>406</v>
      </c>
      <c r="G7" s="124" t="s">
        <v>407</v>
      </c>
      <c r="H7" s="328"/>
      <c r="I7" s="328"/>
    </row>
    <row r="8" spans="1:9" x14ac:dyDescent="0.2">
      <c r="A8" s="333" t="s">
        <v>5</v>
      </c>
      <c r="B8" s="334"/>
      <c r="C8" s="334"/>
      <c r="D8" s="334"/>
      <c r="E8" s="334"/>
      <c r="F8" s="334"/>
      <c r="G8" s="334"/>
      <c r="H8" s="334"/>
      <c r="I8" s="334"/>
    </row>
    <row r="9" spans="1:9" ht="39" x14ac:dyDescent="0.2">
      <c r="A9" s="42" t="s">
        <v>76</v>
      </c>
      <c r="B9" s="62" t="s">
        <v>6</v>
      </c>
      <c r="C9" s="281">
        <v>11187.75</v>
      </c>
      <c r="D9" s="281">
        <f>'Прил 2 Прогноз по поселениям'!C16</f>
        <v>14448.552770000002</v>
      </c>
      <c r="E9" s="281">
        <f>'Прил 2 Прогноз по поселениям'!D16</f>
        <v>14903.0371</v>
      </c>
      <c r="F9" s="281">
        <f>E9*97.1%</f>
        <v>14470.8490241</v>
      </c>
      <c r="G9" s="281">
        <f>'Прил 2 Прогноз по поселениям'!E16</f>
        <v>15527.55</v>
      </c>
      <c r="H9" s="281">
        <f>'Прил 2 Прогноз по поселениям'!F16</f>
        <v>16168.841999999999</v>
      </c>
      <c r="I9" s="281">
        <f>'Прил 2 Прогноз по поселениям'!G16</f>
        <v>16627.230000000003</v>
      </c>
    </row>
    <row r="10" spans="1:9" x14ac:dyDescent="0.2">
      <c r="A10" s="96" t="s">
        <v>7</v>
      </c>
      <c r="B10" s="68"/>
      <c r="C10" s="292"/>
      <c r="D10" s="293"/>
      <c r="E10" s="293"/>
      <c r="F10" s="293"/>
      <c r="G10" s="293"/>
      <c r="H10" s="293"/>
      <c r="I10" s="293"/>
    </row>
    <row r="11" spans="1:9" ht="37.5" x14ac:dyDescent="0.2">
      <c r="A11" s="70" t="s">
        <v>141</v>
      </c>
      <c r="B11" s="63" t="s">
        <v>6</v>
      </c>
      <c r="C11" s="242">
        <v>20.356999999999999</v>
      </c>
      <c r="D11" s="242">
        <v>7.94</v>
      </c>
      <c r="E11" s="242">
        <f>D11*100.1%</f>
        <v>7.9479399999999991</v>
      </c>
      <c r="F11" s="242">
        <f>D11*101.8%</f>
        <v>8.0829199999999997</v>
      </c>
      <c r="G11" s="242">
        <f>D11*100.8%</f>
        <v>8.00352</v>
      </c>
      <c r="H11" s="242">
        <f>G11*101.2%</f>
        <v>8.0995622400000009</v>
      </c>
      <c r="I11" s="242">
        <f>H11*101.2%</f>
        <v>8.1967569868800005</v>
      </c>
    </row>
    <row r="12" spans="1:9" ht="37.5" x14ac:dyDescent="0.2">
      <c r="A12" s="71" t="s">
        <v>142</v>
      </c>
      <c r="B12" s="63" t="s">
        <v>6</v>
      </c>
      <c r="C12" s="242"/>
      <c r="D12" s="242"/>
      <c r="E12" s="242"/>
      <c r="F12" s="242"/>
      <c r="G12" s="242"/>
      <c r="H12" s="242"/>
      <c r="I12" s="278"/>
    </row>
    <row r="13" spans="1:9" x14ac:dyDescent="0.2">
      <c r="A13" s="72" t="s">
        <v>143</v>
      </c>
      <c r="B13" s="63" t="s">
        <v>6</v>
      </c>
      <c r="C13" s="242"/>
      <c r="D13" s="242"/>
      <c r="E13" s="242"/>
      <c r="F13" s="242"/>
      <c r="G13" s="242"/>
      <c r="H13" s="242"/>
      <c r="I13" s="278"/>
    </row>
    <row r="14" spans="1:9" x14ac:dyDescent="0.2">
      <c r="A14" s="72" t="s">
        <v>144</v>
      </c>
      <c r="B14" s="63" t="s">
        <v>6</v>
      </c>
      <c r="C14" s="242"/>
      <c r="D14" s="242"/>
      <c r="E14" s="242"/>
      <c r="F14" s="242"/>
      <c r="G14" s="242"/>
      <c r="H14" s="242"/>
      <c r="I14" s="278"/>
    </row>
    <row r="15" spans="1:9" x14ac:dyDescent="0.2">
      <c r="A15" s="72" t="s">
        <v>42</v>
      </c>
      <c r="B15" s="63" t="s">
        <v>6</v>
      </c>
      <c r="C15" s="242">
        <v>355.72300000000001</v>
      </c>
      <c r="D15" s="242">
        <v>369.952</v>
      </c>
      <c r="E15" s="242">
        <f>D15*70.3%</f>
        <v>260.076256</v>
      </c>
      <c r="F15" s="242">
        <f>E15*104%</f>
        <v>270.47930624000003</v>
      </c>
      <c r="G15" s="242">
        <f>D15*70%</f>
        <v>258.96639999999996</v>
      </c>
      <c r="H15" s="242">
        <f>G15*104%</f>
        <v>269.32505599999996</v>
      </c>
      <c r="I15" s="242">
        <f>H15*104%</f>
        <v>280.09805823999994</v>
      </c>
    </row>
    <row r="16" spans="1:9" x14ac:dyDescent="0.2">
      <c r="A16" s="72" t="s">
        <v>43</v>
      </c>
      <c r="B16" s="63" t="s">
        <v>6</v>
      </c>
      <c r="C16" s="242">
        <v>487.82100000000003</v>
      </c>
      <c r="D16" s="242">
        <v>619.53300000000002</v>
      </c>
      <c r="E16" s="242">
        <f>D16*56%</f>
        <v>346.93848000000003</v>
      </c>
      <c r="F16" s="242">
        <f>E16*127%</f>
        <v>440.61186960000003</v>
      </c>
      <c r="G16" s="242">
        <f>D16*56%</f>
        <v>346.93848000000003</v>
      </c>
      <c r="H16" s="242">
        <f>G16*127%</f>
        <v>440.61186960000003</v>
      </c>
      <c r="I16" s="242">
        <f>H16*127%</f>
        <v>559.5770743920001</v>
      </c>
    </row>
    <row r="17" spans="1:9" ht="40.5" customHeight="1" x14ac:dyDescent="0.2">
      <c r="A17" s="71" t="s">
        <v>145</v>
      </c>
      <c r="B17" s="63" t="s">
        <v>6</v>
      </c>
      <c r="C17" s="242">
        <v>603.41200000000003</v>
      </c>
      <c r="D17" s="242">
        <v>798.11699999999996</v>
      </c>
      <c r="E17" s="242">
        <f>D17*106.1%</f>
        <v>846.8021369999999</v>
      </c>
      <c r="F17" s="242">
        <f>E17*111%</f>
        <v>939.95037206999996</v>
      </c>
      <c r="G17" s="242">
        <f>D17*106%</f>
        <v>846.00401999999997</v>
      </c>
      <c r="H17" s="242">
        <f>G17*106.1%</f>
        <v>897.61026521999997</v>
      </c>
      <c r="I17" s="242">
        <f>H17*106.1%</f>
        <v>952.36449139841989</v>
      </c>
    </row>
    <row r="18" spans="1:9" ht="37.5" customHeight="1" x14ac:dyDescent="0.2">
      <c r="A18" s="70" t="s">
        <v>146</v>
      </c>
      <c r="B18" s="63" t="s">
        <v>6</v>
      </c>
      <c r="C18" s="242">
        <v>82.728999999999999</v>
      </c>
      <c r="D18" s="242">
        <v>107.93</v>
      </c>
      <c r="E18" s="242">
        <f>D18*148.5%</f>
        <v>160.27605000000003</v>
      </c>
      <c r="F18" s="242">
        <f>D18*148%</f>
        <v>159.7364</v>
      </c>
      <c r="G18" s="242">
        <f>D18*116.1%</f>
        <v>125.30673000000002</v>
      </c>
      <c r="H18" s="242">
        <f>G18*116%</f>
        <v>145.35580680000001</v>
      </c>
      <c r="I18" s="242">
        <f>H18*116%</f>
        <v>168.612735888</v>
      </c>
    </row>
    <row r="19" spans="1:9" x14ac:dyDescent="0.2">
      <c r="A19" s="72" t="s">
        <v>12</v>
      </c>
      <c r="B19" s="63" t="s">
        <v>6</v>
      </c>
      <c r="C19" s="242">
        <v>1564.817</v>
      </c>
      <c r="D19" s="242">
        <v>1384.3330000000001</v>
      </c>
      <c r="E19" s="242">
        <f>D19*55%</f>
        <v>761.38315000000011</v>
      </c>
      <c r="F19" s="242">
        <f>E19*148%</f>
        <v>1126.8470620000001</v>
      </c>
      <c r="G19" s="242">
        <f>D19*55.1%</f>
        <v>762.76748300000008</v>
      </c>
      <c r="H19" s="242">
        <f>G19*148%</f>
        <v>1128.89587484</v>
      </c>
      <c r="I19" s="242">
        <f>H19*148%</f>
        <v>1670.7658947632001</v>
      </c>
    </row>
    <row r="20" spans="1:9" ht="37.5" x14ac:dyDescent="0.2">
      <c r="A20" s="70" t="s">
        <v>147</v>
      </c>
      <c r="B20" s="63" t="s">
        <v>6</v>
      </c>
      <c r="C20" s="242">
        <v>5162.8149999999996</v>
      </c>
      <c r="D20" s="242">
        <v>6504.598</v>
      </c>
      <c r="E20" s="242">
        <f>D20*90.4%</f>
        <v>5880.1565920000003</v>
      </c>
      <c r="F20" s="279">
        <f>E20*97%</f>
        <v>5703.7518942400002</v>
      </c>
      <c r="G20" s="242">
        <f>E20*100.3%</f>
        <v>5897.7970617759993</v>
      </c>
      <c r="H20" s="242">
        <f>G20*104.9%</f>
        <v>6186.7891178030241</v>
      </c>
      <c r="I20" s="242">
        <f>H20*101.9%</f>
        <v>6304.338111041282</v>
      </c>
    </row>
    <row r="21" spans="1:9" x14ac:dyDescent="0.2">
      <c r="A21" s="72" t="s">
        <v>177</v>
      </c>
      <c r="B21" s="63" t="s">
        <v>6</v>
      </c>
      <c r="C21" s="242">
        <v>1719.021</v>
      </c>
      <c r="D21" s="242">
        <v>3013.06</v>
      </c>
      <c r="E21" s="242">
        <f>D21*55%</f>
        <v>1657.183</v>
      </c>
      <c r="F21" s="242">
        <f>E21*137%</f>
        <v>2270.3407099999999</v>
      </c>
      <c r="G21" s="242">
        <f>E21*55.1%</f>
        <v>913.10783300000003</v>
      </c>
      <c r="H21" s="242">
        <f>G21*137%</f>
        <v>1250.9577312100002</v>
      </c>
      <c r="I21" s="242">
        <f>H21*137%</f>
        <v>1713.8120917577005</v>
      </c>
    </row>
    <row r="22" spans="1:9" x14ac:dyDescent="0.2">
      <c r="A22" s="72" t="s">
        <v>178</v>
      </c>
      <c r="B22" s="63" t="s">
        <v>6</v>
      </c>
      <c r="C22" s="242">
        <v>22.436</v>
      </c>
      <c r="D22" s="242">
        <v>18.850000000000001</v>
      </c>
      <c r="E22" s="242">
        <f>D22*135%</f>
        <v>25.447500000000005</v>
      </c>
      <c r="F22" s="242">
        <f>E22*84%</f>
        <v>21.375900000000005</v>
      </c>
      <c r="G22" s="242">
        <f>E22*135%</f>
        <v>34.35412500000001</v>
      </c>
      <c r="H22" s="242">
        <f>G22*107%</f>
        <v>36.758913750000012</v>
      </c>
      <c r="I22" s="242">
        <f>H22*107%</f>
        <v>39.332037712500018</v>
      </c>
    </row>
    <row r="23" spans="1:9" x14ac:dyDescent="0.2">
      <c r="A23" s="72" t="s">
        <v>47</v>
      </c>
      <c r="B23" s="63" t="s">
        <v>6</v>
      </c>
      <c r="C23" s="242">
        <v>1168.5943300000004</v>
      </c>
      <c r="D23" s="242">
        <f t="shared" ref="D23:I23" si="0">D9-D11-D15-D16-D17-D18-D19-D20-D21-D22</f>
        <v>1624.239770000002</v>
      </c>
      <c r="E23" s="242">
        <f t="shared" si="0"/>
        <v>4956.8259949999974</v>
      </c>
      <c r="F23" s="242">
        <f t="shared" si="0"/>
        <v>3529.6725899499993</v>
      </c>
      <c r="G23" s="242">
        <f t="shared" si="0"/>
        <v>6334.3043472239997</v>
      </c>
      <c r="H23" s="242">
        <f t="shared" si="0"/>
        <v>5804.4378025369742</v>
      </c>
      <c r="I23" s="242">
        <f t="shared" si="0"/>
        <v>4930.1327478200183</v>
      </c>
    </row>
    <row r="24" spans="1:9" ht="58.5" x14ac:dyDescent="0.2">
      <c r="A24" s="42" t="s">
        <v>77</v>
      </c>
      <c r="B24" s="63" t="s">
        <v>6</v>
      </c>
      <c r="C24" s="257">
        <v>1654.4079999999999</v>
      </c>
      <c r="D24" s="257">
        <v>2216.75</v>
      </c>
      <c r="E24" s="257">
        <v>2123.2199999999998</v>
      </c>
      <c r="F24" s="257">
        <v>2125.86</v>
      </c>
      <c r="G24" s="262">
        <f>E24*100.5%</f>
        <v>2133.8360999999995</v>
      </c>
      <c r="H24" s="280">
        <v>2169.14</v>
      </c>
      <c r="I24" s="280">
        <v>2214.5500000000002</v>
      </c>
    </row>
    <row r="25" spans="1:9" ht="44.25" customHeight="1" x14ac:dyDescent="0.2">
      <c r="A25" s="93" t="s">
        <v>97</v>
      </c>
      <c r="B25" s="66" t="s">
        <v>6</v>
      </c>
      <c r="C25" s="270">
        <v>384.6</v>
      </c>
      <c r="D25" s="270">
        <v>469.1</v>
      </c>
      <c r="E25" s="270">
        <v>454.6</v>
      </c>
      <c r="F25" s="271">
        <v>454.6</v>
      </c>
      <c r="G25" s="270">
        <v>458.85700000000003</v>
      </c>
      <c r="H25" s="271">
        <v>461.54199999999997</v>
      </c>
      <c r="I25" s="271">
        <v>462.1</v>
      </c>
    </row>
    <row r="26" spans="1:9" ht="18.75" customHeight="1" x14ac:dyDescent="0.2">
      <c r="A26" s="335" t="s">
        <v>10</v>
      </c>
      <c r="B26" s="336"/>
      <c r="C26" s="336"/>
      <c r="D26" s="336"/>
      <c r="E26" s="336"/>
      <c r="F26" s="336"/>
      <c r="G26" s="336"/>
      <c r="H26" s="336"/>
      <c r="I26" s="336"/>
    </row>
    <row r="27" spans="1:9" x14ac:dyDescent="0.2">
      <c r="A27" s="94" t="s">
        <v>62</v>
      </c>
      <c r="B27" s="67"/>
      <c r="C27" s="266"/>
      <c r="D27" s="272"/>
      <c r="E27" s="272"/>
      <c r="F27" s="272"/>
      <c r="G27" s="272"/>
      <c r="H27" s="272"/>
      <c r="I27" s="272"/>
    </row>
    <row r="28" spans="1:9" ht="58.5" customHeight="1" x14ac:dyDescent="0.2">
      <c r="A28" s="75" t="s">
        <v>275</v>
      </c>
      <c r="B28" s="63" t="s">
        <v>6</v>
      </c>
      <c r="C28" s="262">
        <v>1529.7</v>
      </c>
      <c r="D28" s="273">
        <f>D32</f>
        <v>1895.5319999999999</v>
      </c>
      <c r="E28" s="273">
        <f>E32</f>
        <v>1614.0929229999999</v>
      </c>
      <c r="F28" s="273">
        <f t="shared" ref="F28:I28" si="1">F32</f>
        <v>1810.77794791</v>
      </c>
      <c r="G28" s="273">
        <f t="shared" si="1"/>
        <v>1577.2156299999999</v>
      </c>
      <c r="H28" s="273">
        <f t="shared" si="1"/>
        <v>1752.90299762</v>
      </c>
      <c r="I28" s="273">
        <f t="shared" si="1"/>
        <v>1960.65235991842</v>
      </c>
    </row>
    <row r="29" spans="1:9" x14ac:dyDescent="0.2">
      <c r="A29" s="75" t="s">
        <v>64</v>
      </c>
      <c r="B29" s="64" t="s">
        <v>8</v>
      </c>
      <c r="C29" s="257">
        <v>94.2</v>
      </c>
      <c r="D29" s="274">
        <f>D33</f>
        <v>115</v>
      </c>
      <c r="E29" s="273">
        <f>E33</f>
        <v>95.935580441474272</v>
      </c>
      <c r="F29" s="273">
        <f t="shared" ref="F29:I29" si="2">F33</f>
        <v>97.375560413072336</v>
      </c>
      <c r="G29" s="273">
        <f t="shared" si="2"/>
        <v>97.375560413072336</v>
      </c>
      <c r="H29" s="273">
        <f t="shared" si="2"/>
        <v>101.68787838233528</v>
      </c>
      <c r="I29" s="273">
        <f t="shared" si="2"/>
        <v>101.49144793126743</v>
      </c>
    </row>
    <row r="30" spans="1:9" x14ac:dyDescent="0.2">
      <c r="A30" s="76" t="s">
        <v>23</v>
      </c>
      <c r="B30" s="63"/>
      <c r="C30" s="257"/>
      <c r="D30" s="274"/>
      <c r="E30" s="274"/>
      <c r="F30" s="274"/>
      <c r="G30" s="274"/>
      <c r="H30" s="274"/>
      <c r="I30" s="274"/>
    </row>
    <row r="31" spans="1:9" x14ac:dyDescent="0.2">
      <c r="A31" s="74" t="s">
        <v>148</v>
      </c>
      <c r="B31" s="63"/>
      <c r="C31" s="76"/>
      <c r="D31" s="253"/>
      <c r="E31" s="253"/>
      <c r="F31" s="253"/>
      <c r="G31" s="253"/>
      <c r="H31" s="253"/>
      <c r="I31" s="253"/>
    </row>
    <row r="32" spans="1:9" ht="37.5" x14ac:dyDescent="0.2">
      <c r="A32" s="77" t="s">
        <v>149</v>
      </c>
      <c r="B32" s="63" t="s">
        <v>6</v>
      </c>
      <c r="C32" s="244">
        <v>1529.7</v>
      </c>
      <c r="D32" s="244">
        <f>D35+D38+D41+D44</f>
        <v>1895.5319999999999</v>
      </c>
      <c r="E32" s="251">
        <f t="shared" ref="E32:F32" si="3">E35+E38+E41+E44</f>
        <v>1614.0929229999999</v>
      </c>
      <c r="F32" s="251">
        <f t="shared" si="3"/>
        <v>1810.77794791</v>
      </c>
      <c r="G32" s="251">
        <f t="shared" ref="G32:I32" si="4">G35+G38+G41+G44</f>
        <v>1577.2156299999999</v>
      </c>
      <c r="H32" s="251">
        <f t="shared" si="4"/>
        <v>1752.90299762</v>
      </c>
      <c r="I32" s="251">
        <f t="shared" si="4"/>
        <v>1960.65235991842</v>
      </c>
    </row>
    <row r="33" spans="1:9" x14ac:dyDescent="0.2">
      <c r="A33" s="77" t="s">
        <v>277</v>
      </c>
      <c r="B33" s="63" t="s">
        <v>8</v>
      </c>
      <c r="C33" s="244">
        <v>94.2</v>
      </c>
      <c r="D33" s="244">
        <v>115</v>
      </c>
      <c r="E33" s="251">
        <f>'Прил 1 (расчет ИФО) (2)'!S111</f>
        <v>95.935580441474272</v>
      </c>
      <c r="F33" s="251">
        <f>'Прил 1 (расчет ИФО) (2)'!T111</f>
        <v>97.375560413072336</v>
      </c>
      <c r="G33" s="251">
        <f>F33</f>
        <v>97.375560413072336</v>
      </c>
      <c r="H33" s="251">
        <f>'Прил 1 (расчет ИФО) (2)'!U111</f>
        <v>101.68787838233528</v>
      </c>
      <c r="I33" s="251">
        <f>'Прил 1 (расчет ИФО) (2)'!V111</f>
        <v>101.49144793126743</v>
      </c>
    </row>
    <row r="34" spans="1:9" x14ac:dyDescent="0.2">
      <c r="A34" s="74" t="s">
        <v>150</v>
      </c>
      <c r="B34" s="63"/>
      <c r="C34" s="244"/>
      <c r="D34" s="244"/>
      <c r="E34" s="244"/>
      <c r="F34" s="244"/>
      <c r="G34" s="244"/>
      <c r="H34" s="244"/>
      <c r="I34" s="244"/>
    </row>
    <row r="35" spans="1:9" ht="37.5" x14ac:dyDescent="0.2">
      <c r="A35" s="77" t="s">
        <v>151</v>
      </c>
      <c r="B35" s="63" t="s">
        <v>6</v>
      </c>
      <c r="C35" s="244">
        <v>355.7</v>
      </c>
      <c r="D35" s="242">
        <f>D15</f>
        <v>369.952</v>
      </c>
      <c r="E35" s="242">
        <f t="shared" ref="E35:I35" si="5">E15</f>
        <v>260.076256</v>
      </c>
      <c r="F35" s="242">
        <f t="shared" si="5"/>
        <v>270.47930624000003</v>
      </c>
      <c r="G35" s="242">
        <f t="shared" si="5"/>
        <v>258.96639999999996</v>
      </c>
      <c r="H35" s="242">
        <f t="shared" si="5"/>
        <v>269.32505599999996</v>
      </c>
      <c r="I35" s="242">
        <f t="shared" si="5"/>
        <v>280.09805823999994</v>
      </c>
    </row>
    <row r="36" spans="1:9" x14ac:dyDescent="0.2">
      <c r="A36" s="77" t="s">
        <v>0</v>
      </c>
      <c r="B36" s="63" t="s">
        <v>8</v>
      </c>
      <c r="C36" s="244">
        <v>93.8</v>
      </c>
      <c r="D36" s="244">
        <v>117.35</v>
      </c>
      <c r="E36" s="251">
        <f>'Прил 1 (расчет ИФО) (2)'!S20</f>
        <v>93.71126078882385</v>
      </c>
      <c r="F36" s="251">
        <f>'Прил 1 (расчет ИФО) (2)'!T20</f>
        <v>97.3</v>
      </c>
      <c r="G36" s="251">
        <f>'Прил 1 (расчет ИФО) (2)'!U20</f>
        <v>101.70000000000003</v>
      </c>
      <c r="H36" s="251">
        <f>G36</f>
        <v>101.70000000000003</v>
      </c>
      <c r="I36" s="251">
        <f>'Прил 1 (расчет ИФО) (2)'!V20</f>
        <v>101.49999999999999</v>
      </c>
    </row>
    <row r="37" spans="1:9" ht="37.5" customHeight="1" x14ac:dyDescent="0.2">
      <c r="A37" s="74" t="s">
        <v>152</v>
      </c>
      <c r="B37" s="63"/>
      <c r="C37" s="244"/>
      <c r="D37" s="244"/>
      <c r="E37" s="244"/>
      <c r="F37" s="244"/>
      <c r="G37" s="244"/>
      <c r="H37" s="244"/>
      <c r="I37" s="244"/>
    </row>
    <row r="38" spans="1:9" ht="37.5" x14ac:dyDescent="0.2">
      <c r="A38" s="77" t="s">
        <v>151</v>
      </c>
      <c r="B38" s="63" t="s">
        <v>6</v>
      </c>
      <c r="C38" s="244">
        <v>487.8</v>
      </c>
      <c r="D38" s="242">
        <f>D16</f>
        <v>619.53300000000002</v>
      </c>
      <c r="E38" s="242">
        <f t="shared" ref="E38:I38" si="6">E16</f>
        <v>346.93848000000003</v>
      </c>
      <c r="F38" s="242">
        <f t="shared" si="6"/>
        <v>440.61186960000003</v>
      </c>
      <c r="G38" s="242">
        <f t="shared" si="6"/>
        <v>346.93848000000003</v>
      </c>
      <c r="H38" s="242">
        <f t="shared" si="6"/>
        <v>440.61186960000003</v>
      </c>
      <c r="I38" s="242">
        <f t="shared" si="6"/>
        <v>559.5770743920001</v>
      </c>
    </row>
    <row r="39" spans="1:9" x14ac:dyDescent="0.2">
      <c r="A39" s="77" t="s">
        <v>0</v>
      </c>
      <c r="B39" s="63" t="s">
        <v>8</v>
      </c>
      <c r="C39" s="244">
        <v>70</v>
      </c>
      <c r="D39" s="244">
        <v>125</v>
      </c>
      <c r="E39" s="251">
        <f>'Прил 1 (расчет ИФО) (2)'!S103</f>
        <v>111.10456551582782</v>
      </c>
      <c r="F39" s="251">
        <f>'Прил 1 (расчет ИФО) (2)'!T103</f>
        <v>99.31304018556493</v>
      </c>
      <c r="G39" s="251">
        <f>F39</f>
        <v>99.31304018556493</v>
      </c>
      <c r="H39" s="251">
        <f>'Прил 1 (расчет ИФО) (2)'!U103</f>
        <v>101.38336246489061</v>
      </c>
      <c r="I39" s="251">
        <f>'Прил 1 (расчет ИФО) (2)'!V103</f>
        <v>101.27593424180421</v>
      </c>
    </row>
    <row r="40" spans="1:9" ht="37.5" x14ac:dyDescent="0.2">
      <c r="A40" s="116" t="s">
        <v>153</v>
      </c>
      <c r="B40" s="63"/>
      <c r="C40" s="244"/>
      <c r="D40" s="244"/>
      <c r="E40" s="267"/>
      <c r="F40" s="267"/>
      <c r="G40" s="244"/>
      <c r="H40" s="267"/>
      <c r="I40" s="244"/>
    </row>
    <row r="41" spans="1:9" ht="37.5" x14ac:dyDescent="0.2">
      <c r="A41" s="77" t="s">
        <v>154</v>
      </c>
      <c r="B41" s="63" t="s">
        <v>6</v>
      </c>
      <c r="C41" s="244">
        <v>603.4</v>
      </c>
      <c r="D41" s="242">
        <f>D17</f>
        <v>798.11699999999996</v>
      </c>
      <c r="E41" s="242">
        <f t="shared" ref="E41:I41" si="7">E17</f>
        <v>846.8021369999999</v>
      </c>
      <c r="F41" s="242">
        <f t="shared" si="7"/>
        <v>939.95037206999996</v>
      </c>
      <c r="G41" s="242">
        <f t="shared" si="7"/>
        <v>846.00401999999997</v>
      </c>
      <c r="H41" s="242">
        <f t="shared" si="7"/>
        <v>897.61026521999997</v>
      </c>
      <c r="I41" s="242">
        <f t="shared" si="7"/>
        <v>952.36449139841989</v>
      </c>
    </row>
    <row r="42" spans="1:9" x14ac:dyDescent="0.2">
      <c r="A42" s="77" t="s">
        <v>0</v>
      </c>
      <c r="B42" s="63" t="s">
        <v>8</v>
      </c>
      <c r="C42" s="244">
        <v>100.72</v>
      </c>
      <c r="D42" s="244">
        <v>105.6</v>
      </c>
      <c r="E42" s="275">
        <f>'Прил 1 (расчет ИФО) (2)'!S110</f>
        <v>102.04337378832093</v>
      </c>
      <c r="F42" s="275">
        <f>'Прил 1 (расчет ИФО) (2)'!T110</f>
        <v>97.299999999999983</v>
      </c>
      <c r="G42" s="251">
        <f>'Прил 1 (расчет ИФО) (2)'!U110</f>
        <v>101.69999999999999</v>
      </c>
      <c r="H42" s="275">
        <f>G42</f>
        <v>101.69999999999999</v>
      </c>
      <c r="I42" s="251">
        <f>'Прил 1 (расчет ИФО) (2)'!V110</f>
        <v>101.49999999999999</v>
      </c>
    </row>
    <row r="43" spans="1:9" ht="56.25" x14ac:dyDescent="0.2">
      <c r="A43" s="116" t="s">
        <v>155</v>
      </c>
      <c r="B43" s="63"/>
      <c r="C43" s="244"/>
      <c r="D43" s="253"/>
      <c r="E43" s="276"/>
      <c r="F43" s="276"/>
      <c r="G43" s="253"/>
      <c r="H43" s="276"/>
      <c r="I43" s="253"/>
    </row>
    <row r="44" spans="1:9" ht="37.5" x14ac:dyDescent="0.2">
      <c r="A44" s="77" t="s">
        <v>154</v>
      </c>
      <c r="B44" s="63" t="s">
        <v>6</v>
      </c>
      <c r="C44" s="244">
        <v>82.728999999999999</v>
      </c>
      <c r="D44" s="242">
        <f>D18</f>
        <v>107.93</v>
      </c>
      <c r="E44" s="242">
        <f t="shared" ref="E44:I44" si="8">E18</f>
        <v>160.27605000000003</v>
      </c>
      <c r="F44" s="242">
        <f t="shared" si="8"/>
        <v>159.7364</v>
      </c>
      <c r="G44" s="242">
        <f t="shared" si="8"/>
        <v>125.30673000000002</v>
      </c>
      <c r="H44" s="242">
        <f t="shared" si="8"/>
        <v>145.35580680000001</v>
      </c>
      <c r="I44" s="242">
        <f t="shared" si="8"/>
        <v>168.612735888</v>
      </c>
    </row>
    <row r="45" spans="1:9" ht="37.5" x14ac:dyDescent="0.2">
      <c r="A45" s="78" t="s">
        <v>156</v>
      </c>
      <c r="B45" s="65"/>
      <c r="C45" s="76"/>
      <c r="D45" s="253"/>
      <c r="E45" s="276"/>
      <c r="F45" s="276"/>
      <c r="G45" s="253"/>
      <c r="H45" s="276"/>
      <c r="I45" s="253"/>
    </row>
    <row r="46" spans="1:9" x14ac:dyDescent="0.2">
      <c r="A46" s="79" t="s">
        <v>11</v>
      </c>
      <c r="B46" s="63" t="s">
        <v>6</v>
      </c>
      <c r="C46" s="76"/>
      <c r="D46" s="253"/>
      <c r="E46" s="253"/>
      <c r="F46" s="253"/>
      <c r="G46" s="254"/>
      <c r="H46" s="253"/>
      <c r="I46" s="254"/>
    </row>
    <row r="47" spans="1:9" x14ac:dyDescent="0.2">
      <c r="A47" s="79" t="s">
        <v>157</v>
      </c>
      <c r="B47" s="63" t="s">
        <v>8</v>
      </c>
      <c r="C47" s="76"/>
      <c r="D47" s="253"/>
      <c r="E47" s="253"/>
      <c r="F47" s="253"/>
      <c r="G47" s="253"/>
      <c r="H47" s="253"/>
      <c r="I47" s="253"/>
    </row>
    <row r="48" spans="1:9" x14ac:dyDescent="0.2">
      <c r="A48" s="80" t="s">
        <v>158</v>
      </c>
      <c r="B48" s="65"/>
      <c r="C48" s="76"/>
      <c r="D48" s="253"/>
      <c r="E48" s="276"/>
      <c r="F48" s="276"/>
      <c r="G48" s="253"/>
      <c r="H48" s="276"/>
      <c r="I48" s="253"/>
    </row>
    <row r="49" spans="1:9" x14ac:dyDescent="0.2">
      <c r="A49" s="81" t="s">
        <v>159</v>
      </c>
      <c r="B49" s="63" t="s">
        <v>6</v>
      </c>
      <c r="C49" s="244">
        <v>1564.8</v>
      </c>
      <c r="D49" s="251">
        <f>D19</f>
        <v>1384.3330000000001</v>
      </c>
      <c r="E49" s="251">
        <f>E19</f>
        <v>761.38315000000011</v>
      </c>
      <c r="F49" s="251">
        <f t="shared" ref="F49:I49" si="9">F19</f>
        <v>1126.8470620000001</v>
      </c>
      <c r="G49" s="251">
        <f t="shared" si="9"/>
        <v>762.76748300000008</v>
      </c>
      <c r="H49" s="251">
        <f t="shared" si="9"/>
        <v>1128.89587484</v>
      </c>
      <c r="I49" s="251">
        <f t="shared" si="9"/>
        <v>1670.7658947632001</v>
      </c>
    </row>
    <row r="50" spans="1:9" x14ac:dyDescent="0.2">
      <c r="A50" s="81" t="s">
        <v>13</v>
      </c>
      <c r="B50" s="63" t="s">
        <v>14</v>
      </c>
      <c r="C50" s="244">
        <v>9993</v>
      </c>
      <c r="D50" s="244">
        <v>6166</v>
      </c>
      <c r="E50" s="244">
        <v>7216</v>
      </c>
      <c r="F50" s="244">
        <f>E50</f>
        <v>7216</v>
      </c>
      <c r="G50" s="244">
        <f t="shared" ref="G50:I50" si="10">F50</f>
        <v>7216</v>
      </c>
      <c r="H50" s="244">
        <f t="shared" si="10"/>
        <v>7216</v>
      </c>
      <c r="I50" s="244">
        <f t="shared" si="10"/>
        <v>7216</v>
      </c>
    </row>
    <row r="51" spans="1:9" x14ac:dyDescent="0.2">
      <c r="A51" s="81" t="s">
        <v>15</v>
      </c>
      <c r="B51" s="63" t="s">
        <v>14</v>
      </c>
      <c r="C51" s="244">
        <v>0.25559999999999999</v>
      </c>
      <c r="D51" s="244">
        <v>0.15809999999999999</v>
      </c>
      <c r="E51" s="244">
        <v>0.19</v>
      </c>
      <c r="F51" s="244">
        <f>E51</f>
        <v>0.19</v>
      </c>
      <c r="G51" s="244">
        <f t="shared" ref="G51:I51" si="11">F51</f>
        <v>0.19</v>
      </c>
      <c r="H51" s="244">
        <f t="shared" si="11"/>
        <v>0.19</v>
      </c>
      <c r="I51" s="244">
        <f t="shared" si="11"/>
        <v>0.19</v>
      </c>
    </row>
    <row r="52" spans="1:9" x14ac:dyDescent="0.2">
      <c r="A52" s="80" t="s">
        <v>160</v>
      </c>
      <c r="B52" s="65"/>
      <c r="C52" s="244"/>
      <c r="D52" s="253"/>
      <c r="E52" s="276"/>
      <c r="F52" s="276"/>
      <c r="G52" s="253"/>
      <c r="H52" s="276"/>
      <c r="I52" s="253"/>
    </row>
    <row r="53" spans="1:9" x14ac:dyDescent="0.2">
      <c r="A53" s="81" t="s">
        <v>161</v>
      </c>
      <c r="B53" s="63" t="s">
        <v>162</v>
      </c>
      <c r="C53" s="244">
        <v>72757.3</v>
      </c>
      <c r="D53" s="244">
        <v>19135.3</v>
      </c>
      <c r="E53" s="244">
        <f>1756.7*4</f>
        <v>7026.8</v>
      </c>
      <c r="F53" s="244">
        <f t="shared" ref="F53:I53" si="12">1756.7*4</f>
        <v>7026.8</v>
      </c>
      <c r="G53" s="244">
        <f t="shared" si="12"/>
        <v>7026.8</v>
      </c>
      <c r="H53" s="244">
        <f t="shared" si="12"/>
        <v>7026.8</v>
      </c>
      <c r="I53" s="244">
        <f t="shared" si="12"/>
        <v>7026.8</v>
      </c>
    </row>
    <row r="54" spans="1:9" x14ac:dyDescent="0.2">
      <c r="A54" s="81" t="s">
        <v>163</v>
      </c>
      <c r="B54" s="63" t="s">
        <v>164</v>
      </c>
      <c r="C54" s="244">
        <v>5273.7</v>
      </c>
      <c r="D54" s="244">
        <v>5532.11</v>
      </c>
      <c r="E54" s="244">
        <f>1905.7*4</f>
        <v>7622.8</v>
      </c>
      <c r="F54" s="244">
        <f>E54</f>
        <v>7622.8</v>
      </c>
      <c r="G54" s="244">
        <f t="shared" ref="G54:I54" si="13">F54</f>
        <v>7622.8</v>
      </c>
      <c r="H54" s="244">
        <f t="shared" si="13"/>
        <v>7622.8</v>
      </c>
      <c r="I54" s="244">
        <f t="shared" si="13"/>
        <v>7622.8</v>
      </c>
    </row>
    <row r="55" spans="1:9" ht="37.5" x14ac:dyDescent="0.2">
      <c r="A55" s="80" t="s">
        <v>165</v>
      </c>
      <c r="B55" s="63"/>
      <c r="C55" s="244"/>
      <c r="D55" s="253"/>
      <c r="E55" s="253"/>
      <c r="F55" s="253"/>
      <c r="G55" s="253"/>
      <c r="H55" s="253"/>
      <c r="I55" s="253"/>
    </row>
    <row r="56" spans="1:9" x14ac:dyDescent="0.2">
      <c r="A56" s="81" t="s">
        <v>17</v>
      </c>
      <c r="B56" s="63" t="s">
        <v>6</v>
      </c>
      <c r="C56" s="244">
        <v>5162.8149999999996</v>
      </c>
      <c r="D56" s="277">
        <f>D20</f>
        <v>6504.598</v>
      </c>
      <c r="E56" s="277">
        <f>E20</f>
        <v>5880.1565920000003</v>
      </c>
      <c r="F56" s="277">
        <f t="shared" ref="F56:I56" si="14">F20</f>
        <v>5703.7518942400002</v>
      </c>
      <c r="G56" s="277">
        <f t="shared" si="14"/>
        <v>5897.7970617759993</v>
      </c>
      <c r="H56" s="277">
        <f t="shared" si="14"/>
        <v>6186.7891178030241</v>
      </c>
      <c r="I56" s="277">
        <f t="shared" si="14"/>
        <v>6304.338111041282</v>
      </c>
    </row>
    <row r="57" spans="1:9" x14ac:dyDescent="0.2">
      <c r="A57" s="81" t="s">
        <v>18</v>
      </c>
      <c r="B57" s="63" t="s">
        <v>8</v>
      </c>
      <c r="C57" s="244"/>
      <c r="D57" s="253"/>
      <c r="E57" s="253"/>
      <c r="F57" s="253"/>
      <c r="G57" s="253"/>
      <c r="H57" s="253"/>
      <c r="I57" s="253"/>
    </row>
    <row r="58" spans="1:9" x14ac:dyDescent="0.2">
      <c r="A58" s="78" t="s">
        <v>19</v>
      </c>
      <c r="B58" s="65"/>
      <c r="C58" s="244"/>
      <c r="D58" s="253"/>
      <c r="E58" s="253"/>
      <c r="F58" s="253"/>
      <c r="G58" s="253"/>
      <c r="H58" s="253"/>
      <c r="I58" s="253"/>
    </row>
    <row r="59" spans="1:9" x14ac:dyDescent="0.2">
      <c r="A59" s="79" t="s">
        <v>166</v>
      </c>
      <c r="B59" s="63" t="s">
        <v>20</v>
      </c>
      <c r="C59" s="257">
        <v>279</v>
      </c>
      <c r="D59" s="257">
        <v>278</v>
      </c>
      <c r="E59" s="257">
        <f>D59</f>
        <v>278</v>
      </c>
      <c r="F59" s="257">
        <f>E59</f>
        <v>278</v>
      </c>
      <c r="G59" s="257">
        <v>277</v>
      </c>
      <c r="H59" s="257">
        <f>F59</f>
        <v>278</v>
      </c>
      <c r="I59" s="257">
        <f t="shared" ref="I59" si="15">H59</f>
        <v>278</v>
      </c>
    </row>
    <row r="60" spans="1:9" x14ac:dyDescent="0.2">
      <c r="A60" s="79" t="s">
        <v>63</v>
      </c>
      <c r="B60" s="63"/>
      <c r="C60" s="244"/>
      <c r="D60" s="244"/>
      <c r="E60" s="244"/>
      <c r="F60" s="253"/>
      <c r="G60" s="254"/>
      <c r="H60" s="253"/>
      <c r="I60" s="254"/>
    </row>
    <row r="61" spans="1:9" ht="37.5" x14ac:dyDescent="0.2">
      <c r="A61" s="79" t="s">
        <v>276</v>
      </c>
      <c r="B61" s="63" t="s">
        <v>20</v>
      </c>
      <c r="C61" s="244">
        <v>10</v>
      </c>
      <c r="D61" s="244">
        <v>13</v>
      </c>
      <c r="E61" s="244">
        <f t="shared" ref="E61:I75" si="16">D61</f>
        <v>13</v>
      </c>
      <c r="F61" s="244">
        <f t="shared" si="16"/>
        <v>13</v>
      </c>
      <c r="G61" s="244">
        <f t="shared" si="16"/>
        <v>13</v>
      </c>
      <c r="H61" s="244">
        <f t="shared" si="16"/>
        <v>13</v>
      </c>
      <c r="I61" s="244">
        <f t="shared" si="16"/>
        <v>13</v>
      </c>
    </row>
    <row r="62" spans="1:9" ht="37.5" x14ac:dyDescent="0.2">
      <c r="A62" s="79" t="s">
        <v>142</v>
      </c>
      <c r="B62" s="63" t="s">
        <v>20</v>
      </c>
      <c r="C62" s="244"/>
      <c r="D62" s="244"/>
      <c r="E62" s="244"/>
      <c r="F62" s="253"/>
      <c r="G62" s="254"/>
      <c r="H62" s="253"/>
      <c r="I62" s="254"/>
    </row>
    <row r="63" spans="1:9" x14ac:dyDescent="0.2">
      <c r="A63" s="79" t="s">
        <v>143</v>
      </c>
      <c r="B63" s="63" t="s">
        <v>20</v>
      </c>
      <c r="C63" s="244"/>
      <c r="D63" s="244"/>
      <c r="E63" s="244"/>
      <c r="F63" s="253"/>
      <c r="G63" s="254"/>
      <c r="H63" s="253"/>
      <c r="I63" s="254"/>
    </row>
    <row r="64" spans="1:9" x14ac:dyDescent="0.2">
      <c r="A64" s="79" t="s">
        <v>144</v>
      </c>
      <c r="B64" s="63" t="s">
        <v>20</v>
      </c>
      <c r="C64" s="244"/>
      <c r="D64" s="244"/>
      <c r="E64" s="244"/>
      <c r="F64" s="253"/>
      <c r="G64" s="254"/>
      <c r="H64" s="253"/>
      <c r="I64" s="254"/>
    </row>
    <row r="65" spans="1:15" ht="20.25" customHeight="1" x14ac:dyDescent="0.2">
      <c r="A65" s="79" t="s">
        <v>42</v>
      </c>
      <c r="B65" s="63" t="s">
        <v>20</v>
      </c>
      <c r="C65" s="244">
        <v>4</v>
      </c>
      <c r="D65" s="244">
        <v>3</v>
      </c>
      <c r="E65" s="244">
        <f t="shared" si="16"/>
        <v>3</v>
      </c>
      <c r="F65" s="244">
        <f t="shared" si="16"/>
        <v>3</v>
      </c>
      <c r="G65" s="244">
        <f t="shared" si="16"/>
        <v>3</v>
      </c>
      <c r="H65" s="244">
        <f t="shared" si="16"/>
        <v>3</v>
      </c>
      <c r="I65" s="244">
        <f t="shared" si="16"/>
        <v>3</v>
      </c>
    </row>
    <row r="66" spans="1:15" x14ac:dyDescent="0.2">
      <c r="A66" s="79" t="s">
        <v>43</v>
      </c>
      <c r="B66" s="63" t="s">
        <v>20</v>
      </c>
      <c r="C66" s="244">
        <v>22</v>
      </c>
      <c r="D66" s="244">
        <v>22</v>
      </c>
      <c r="E66" s="244">
        <f t="shared" si="16"/>
        <v>22</v>
      </c>
      <c r="F66" s="244">
        <f t="shared" si="16"/>
        <v>22</v>
      </c>
      <c r="G66" s="244">
        <v>21</v>
      </c>
      <c r="H66" s="244">
        <f t="shared" si="16"/>
        <v>21</v>
      </c>
      <c r="I66" s="244">
        <f t="shared" si="16"/>
        <v>21</v>
      </c>
    </row>
    <row r="67" spans="1:15" ht="37.5" x14ac:dyDescent="0.2">
      <c r="A67" s="79" t="s">
        <v>145</v>
      </c>
      <c r="B67" s="63" t="s">
        <v>20</v>
      </c>
      <c r="C67" s="244">
        <v>4</v>
      </c>
      <c r="D67" s="244">
        <v>8</v>
      </c>
      <c r="E67" s="244">
        <f t="shared" si="16"/>
        <v>8</v>
      </c>
      <c r="F67" s="244">
        <f t="shared" si="16"/>
        <v>8</v>
      </c>
      <c r="G67" s="244">
        <f t="shared" si="16"/>
        <v>8</v>
      </c>
      <c r="H67" s="244">
        <f t="shared" si="16"/>
        <v>8</v>
      </c>
      <c r="I67" s="244">
        <f t="shared" si="16"/>
        <v>8</v>
      </c>
    </row>
    <row r="68" spans="1:15" ht="56.25" x14ac:dyDescent="0.2">
      <c r="A68" s="79" t="s">
        <v>146</v>
      </c>
      <c r="B68" s="63" t="s">
        <v>20</v>
      </c>
      <c r="C68" s="244">
        <v>4</v>
      </c>
      <c r="D68" s="244">
        <v>5</v>
      </c>
      <c r="E68" s="244">
        <f t="shared" si="16"/>
        <v>5</v>
      </c>
      <c r="F68" s="244">
        <f t="shared" si="16"/>
        <v>5</v>
      </c>
      <c r="G68" s="244">
        <f t="shared" si="16"/>
        <v>5</v>
      </c>
      <c r="H68" s="244">
        <f t="shared" si="16"/>
        <v>5</v>
      </c>
      <c r="I68" s="244">
        <f t="shared" si="16"/>
        <v>5</v>
      </c>
    </row>
    <row r="69" spans="1:15" x14ac:dyDescent="0.2">
      <c r="A69" s="79" t="s">
        <v>12</v>
      </c>
      <c r="B69" s="63" t="s">
        <v>20</v>
      </c>
      <c r="C69" s="244">
        <v>24</v>
      </c>
      <c r="D69" s="244">
        <v>26</v>
      </c>
      <c r="E69" s="244">
        <f t="shared" si="16"/>
        <v>26</v>
      </c>
      <c r="F69" s="244">
        <f t="shared" si="16"/>
        <v>26</v>
      </c>
      <c r="G69" s="244">
        <f t="shared" si="16"/>
        <v>26</v>
      </c>
      <c r="H69" s="244">
        <f t="shared" si="16"/>
        <v>26</v>
      </c>
      <c r="I69" s="244">
        <f t="shared" si="16"/>
        <v>26</v>
      </c>
    </row>
    <row r="70" spans="1:15" ht="37.5" x14ac:dyDescent="0.2">
      <c r="A70" s="79" t="s">
        <v>147</v>
      </c>
      <c r="B70" s="63" t="s">
        <v>20</v>
      </c>
      <c r="C70" s="244">
        <v>70</v>
      </c>
      <c r="D70" s="244">
        <v>54</v>
      </c>
      <c r="E70" s="244">
        <f t="shared" si="16"/>
        <v>54</v>
      </c>
      <c r="F70" s="244">
        <f t="shared" si="16"/>
        <v>54</v>
      </c>
      <c r="G70" s="244">
        <f t="shared" si="16"/>
        <v>54</v>
      </c>
      <c r="H70" s="244">
        <f t="shared" si="16"/>
        <v>54</v>
      </c>
      <c r="I70" s="244">
        <f t="shared" si="16"/>
        <v>54</v>
      </c>
    </row>
    <row r="71" spans="1:15" x14ac:dyDescent="0.2">
      <c r="A71" s="72" t="s">
        <v>177</v>
      </c>
      <c r="B71" s="63" t="s">
        <v>20</v>
      </c>
      <c r="C71" s="244">
        <v>39</v>
      </c>
      <c r="D71" s="244">
        <v>39</v>
      </c>
      <c r="E71" s="244">
        <f t="shared" si="16"/>
        <v>39</v>
      </c>
      <c r="F71" s="244">
        <f t="shared" si="16"/>
        <v>39</v>
      </c>
      <c r="G71" s="244">
        <f t="shared" si="16"/>
        <v>39</v>
      </c>
      <c r="H71" s="244">
        <f t="shared" si="16"/>
        <v>39</v>
      </c>
      <c r="I71" s="244">
        <f t="shared" si="16"/>
        <v>39</v>
      </c>
    </row>
    <row r="72" spans="1:15" x14ac:dyDescent="0.2">
      <c r="A72" s="72" t="s">
        <v>178</v>
      </c>
      <c r="B72" s="63" t="s">
        <v>20</v>
      </c>
      <c r="C72" s="244">
        <v>7</v>
      </c>
      <c r="D72" s="244">
        <v>6</v>
      </c>
      <c r="E72" s="244">
        <f t="shared" si="16"/>
        <v>6</v>
      </c>
      <c r="F72" s="244">
        <f t="shared" si="16"/>
        <v>6</v>
      </c>
      <c r="G72" s="244">
        <f t="shared" si="16"/>
        <v>6</v>
      </c>
      <c r="H72" s="244">
        <f t="shared" si="16"/>
        <v>6</v>
      </c>
      <c r="I72" s="244">
        <f t="shared" si="16"/>
        <v>6</v>
      </c>
    </row>
    <row r="73" spans="1:15" x14ac:dyDescent="0.2">
      <c r="A73" s="79" t="s">
        <v>47</v>
      </c>
      <c r="B73" s="63" t="s">
        <v>20</v>
      </c>
      <c r="C73" s="244">
        <v>95</v>
      </c>
      <c r="D73" s="244">
        <f>D59-D61-D65-D66-D67-D68-D69-D70-D71-D72</f>
        <v>102</v>
      </c>
      <c r="E73" s="244">
        <f t="shared" si="16"/>
        <v>102</v>
      </c>
      <c r="F73" s="244">
        <f t="shared" ref="F73:I73" si="17">F59-F61-F65-F66-F67-F68-F69-F70-F71-F72</f>
        <v>102</v>
      </c>
      <c r="G73" s="244">
        <f t="shared" si="17"/>
        <v>102</v>
      </c>
      <c r="H73" s="244">
        <f t="shared" si="17"/>
        <v>103</v>
      </c>
      <c r="I73" s="244">
        <f t="shared" si="17"/>
        <v>103</v>
      </c>
    </row>
    <row r="74" spans="1:15" ht="37.5" x14ac:dyDescent="0.2">
      <c r="A74" s="127" t="s">
        <v>70</v>
      </c>
      <c r="B74" s="63" t="s">
        <v>8</v>
      </c>
      <c r="C74" s="251">
        <v>14.787706626687447</v>
      </c>
      <c r="D74" s="251">
        <f t="shared" ref="D74:I74" si="18">D24/D9*100</f>
        <v>15.342367054247189</v>
      </c>
      <c r="E74" s="251">
        <f t="shared" si="18"/>
        <v>14.246894681621638</v>
      </c>
      <c r="F74" s="251">
        <f t="shared" si="18"/>
        <v>14.690637684489394</v>
      </c>
      <c r="G74" s="251">
        <f t="shared" si="18"/>
        <v>13.742258759430817</v>
      </c>
      <c r="H74" s="251">
        <f t="shared" si="18"/>
        <v>13.415555671828569</v>
      </c>
      <c r="I74" s="251">
        <f t="shared" si="18"/>
        <v>13.318814980005689</v>
      </c>
    </row>
    <row r="75" spans="1:15" ht="19.5" x14ac:dyDescent="0.2">
      <c r="A75" s="103" t="s">
        <v>68</v>
      </c>
      <c r="B75" s="63" t="s">
        <v>20</v>
      </c>
      <c r="C75" s="257">
        <v>266</v>
      </c>
      <c r="D75" s="257">
        <v>266</v>
      </c>
      <c r="E75" s="257">
        <f t="shared" si="16"/>
        <v>266</v>
      </c>
      <c r="F75" s="257">
        <f t="shared" si="16"/>
        <v>266</v>
      </c>
      <c r="G75" s="257">
        <f t="shared" si="16"/>
        <v>266</v>
      </c>
      <c r="H75" s="257">
        <f t="shared" si="16"/>
        <v>266</v>
      </c>
      <c r="I75" s="257">
        <f t="shared" si="16"/>
        <v>266</v>
      </c>
    </row>
    <row r="76" spans="1:15" ht="37.5" x14ac:dyDescent="0.2">
      <c r="A76" s="79" t="s">
        <v>78</v>
      </c>
      <c r="B76" s="63"/>
      <c r="C76" s="76"/>
      <c r="D76" s="76"/>
      <c r="E76" s="244"/>
      <c r="F76" s="76"/>
      <c r="G76" s="76"/>
      <c r="H76" s="76"/>
      <c r="I76" s="76"/>
    </row>
    <row r="77" spans="1:15" x14ac:dyDescent="0.2">
      <c r="A77" s="79" t="s">
        <v>61</v>
      </c>
      <c r="B77" s="63" t="s">
        <v>20</v>
      </c>
      <c r="C77" s="244">
        <v>759</v>
      </c>
      <c r="D77" s="244">
        <v>744</v>
      </c>
      <c r="E77" s="244">
        <v>739</v>
      </c>
      <c r="F77" s="244">
        <v>732</v>
      </c>
      <c r="G77" s="244">
        <v>724</v>
      </c>
      <c r="H77" s="244">
        <v>725</v>
      </c>
      <c r="I77" s="244">
        <v>718</v>
      </c>
    </row>
    <row r="78" spans="1:15" ht="39" x14ac:dyDescent="0.2">
      <c r="A78" s="95" t="s">
        <v>1</v>
      </c>
      <c r="B78" s="66" t="s">
        <v>6</v>
      </c>
      <c r="C78" s="269">
        <v>895.46400000000006</v>
      </c>
      <c r="D78" s="265">
        <v>1360.2260000000001</v>
      </c>
      <c r="E78" s="270">
        <f>261.844*4</f>
        <v>1047.376</v>
      </c>
      <c r="F78" s="265">
        <f>E78*97.8%</f>
        <v>1024.3337280000001</v>
      </c>
      <c r="G78" s="271">
        <f>E78*100.3%</f>
        <v>1050.5181279999999</v>
      </c>
      <c r="H78" s="270">
        <f>G78*108.9%</f>
        <v>1144.0142413919998</v>
      </c>
      <c r="I78" s="271">
        <f>H78*105.3%</f>
        <v>1204.6469961857758</v>
      </c>
      <c r="J78" t="s">
        <v>415</v>
      </c>
    </row>
    <row r="79" spans="1:15" ht="18.75" customHeight="1" x14ac:dyDescent="0.2">
      <c r="A79" s="335" t="s">
        <v>93</v>
      </c>
      <c r="B79" s="336"/>
      <c r="C79" s="336"/>
      <c r="D79" s="336"/>
      <c r="E79" s="336"/>
      <c r="F79" s="336"/>
      <c r="G79" s="336"/>
      <c r="H79" s="336"/>
      <c r="I79" s="337"/>
    </row>
    <row r="80" spans="1:15" ht="19.5" x14ac:dyDescent="0.2">
      <c r="A80" s="92" t="s">
        <v>94</v>
      </c>
      <c r="B80" s="68" t="s">
        <v>22</v>
      </c>
      <c r="C80" s="266">
        <v>38.994999999999997</v>
      </c>
      <c r="D80" s="266">
        <v>38.994999999999997</v>
      </c>
      <c r="E80" s="266">
        <v>38.700000000000003</v>
      </c>
      <c r="F80" s="266">
        <f>E80</f>
        <v>38.700000000000003</v>
      </c>
      <c r="G80" s="266">
        <f>E80*99%</f>
        <v>38.313000000000002</v>
      </c>
      <c r="H80" s="266">
        <f>F80</f>
        <v>38.700000000000003</v>
      </c>
      <c r="I80" s="266">
        <f>H80</f>
        <v>38.700000000000003</v>
      </c>
      <c r="J80" s="114"/>
      <c r="K80" s="114"/>
      <c r="L80" s="114"/>
      <c r="M80" s="114"/>
      <c r="N80" s="114"/>
      <c r="O80" s="114"/>
    </row>
    <row r="81" spans="1:15" ht="39" x14ac:dyDescent="0.25">
      <c r="A81" s="92" t="s">
        <v>72</v>
      </c>
      <c r="B81" s="68" t="s">
        <v>22</v>
      </c>
      <c r="C81" s="266">
        <v>12.968999999999999</v>
      </c>
      <c r="D81" s="266">
        <v>13.241</v>
      </c>
      <c r="E81" s="266">
        <f>F81</f>
        <v>13.231</v>
      </c>
      <c r="F81" s="266">
        <f>D81-0.01</f>
        <v>13.231</v>
      </c>
      <c r="G81" s="266">
        <f>D81-0.01</f>
        <v>13.231</v>
      </c>
      <c r="H81" s="266">
        <f>E81</f>
        <v>13.231</v>
      </c>
      <c r="I81" s="266">
        <f>H81</f>
        <v>13.231</v>
      </c>
      <c r="J81" s="112"/>
      <c r="K81" s="112"/>
      <c r="L81" s="114"/>
      <c r="M81" s="195"/>
      <c r="N81" s="196"/>
      <c r="O81" s="114"/>
    </row>
    <row r="82" spans="1:15" ht="19.5" x14ac:dyDescent="0.2">
      <c r="A82" s="69" t="s">
        <v>23</v>
      </c>
      <c r="B82" s="63"/>
      <c r="C82" s="244"/>
      <c r="D82" s="244"/>
      <c r="E82" s="267"/>
      <c r="F82" s="267"/>
      <c r="G82" s="245"/>
      <c r="H82" s="267"/>
      <c r="I82" s="245"/>
      <c r="J82" s="197"/>
      <c r="K82" s="197"/>
      <c r="L82" s="114"/>
      <c r="M82" s="114"/>
      <c r="N82" s="114"/>
      <c r="O82" s="114"/>
    </row>
    <row r="83" spans="1:15" ht="37.5" x14ac:dyDescent="0.3">
      <c r="A83" s="82" t="s">
        <v>276</v>
      </c>
      <c r="B83" s="63" t="s">
        <v>22</v>
      </c>
      <c r="C83" s="244">
        <v>1.7999999999999999E-2</v>
      </c>
      <c r="D83" s="268">
        <v>1.7999999999999999E-2</v>
      </c>
      <c r="E83" s="243">
        <f>F83</f>
        <v>1.7999999999999999E-2</v>
      </c>
      <c r="F83" s="268">
        <f>G83</f>
        <v>1.7999999999999999E-2</v>
      </c>
      <c r="G83" s="268">
        <f>D83</f>
        <v>1.7999999999999999E-2</v>
      </c>
      <c r="H83" s="268">
        <v>1.7999999999999999E-2</v>
      </c>
      <c r="I83" s="268">
        <v>1.7999999999999999E-2</v>
      </c>
      <c r="J83" s="197"/>
      <c r="K83" s="197"/>
      <c r="L83" s="114"/>
      <c r="M83" s="114"/>
      <c r="N83" s="114"/>
      <c r="O83" s="114"/>
    </row>
    <row r="84" spans="1:15" ht="37.5" x14ac:dyDescent="0.2">
      <c r="A84" s="70" t="s">
        <v>142</v>
      </c>
      <c r="B84" s="63" t="s">
        <v>22</v>
      </c>
      <c r="C84" s="244"/>
      <c r="D84" s="268"/>
      <c r="E84" s="243"/>
      <c r="F84" s="268"/>
      <c r="G84" s="268"/>
      <c r="H84" s="268"/>
      <c r="I84" s="268"/>
      <c r="J84" s="197"/>
      <c r="K84" s="197"/>
      <c r="L84" s="114"/>
      <c r="M84" s="114"/>
      <c r="N84" s="114"/>
      <c r="O84" s="114"/>
    </row>
    <row r="85" spans="1:15" x14ac:dyDescent="0.3">
      <c r="A85" s="83" t="s">
        <v>143</v>
      </c>
      <c r="B85" s="63" t="s">
        <v>22</v>
      </c>
      <c r="C85" s="244"/>
      <c r="D85" s="268"/>
      <c r="E85" s="243"/>
      <c r="F85" s="268"/>
      <c r="G85" s="268"/>
      <c r="H85" s="268"/>
      <c r="I85" s="268"/>
      <c r="J85" s="197"/>
      <c r="K85" s="197"/>
      <c r="L85" s="114"/>
      <c r="M85" s="114"/>
      <c r="N85" s="114"/>
      <c r="O85" s="114"/>
    </row>
    <row r="86" spans="1:15" x14ac:dyDescent="0.3">
      <c r="A86" s="83" t="s">
        <v>144</v>
      </c>
      <c r="B86" s="63" t="s">
        <v>22</v>
      </c>
      <c r="C86" s="244"/>
      <c r="D86" s="268"/>
      <c r="E86" s="243"/>
      <c r="F86" s="268"/>
      <c r="G86" s="268"/>
      <c r="H86" s="268"/>
      <c r="I86" s="268"/>
      <c r="J86" s="197"/>
      <c r="K86" s="197"/>
      <c r="L86" s="114"/>
      <c r="M86" s="114"/>
      <c r="N86" s="114"/>
      <c r="O86" s="114"/>
    </row>
    <row r="87" spans="1:15" x14ac:dyDescent="0.3">
      <c r="A87" s="83" t="s">
        <v>42</v>
      </c>
      <c r="B87" s="63" t="s">
        <v>22</v>
      </c>
      <c r="C87" s="244">
        <v>0.36399999999999999</v>
      </c>
      <c r="D87" s="268">
        <v>0.34799999999999998</v>
      </c>
      <c r="E87" s="243">
        <f>F87</f>
        <v>0.34799999999999998</v>
      </c>
      <c r="F87" s="243">
        <f>G87</f>
        <v>0.34799999999999998</v>
      </c>
      <c r="G87" s="243">
        <f>D87</f>
        <v>0.34799999999999998</v>
      </c>
      <c r="H87" s="243">
        <f>F87</f>
        <v>0.34799999999999998</v>
      </c>
      <c r="I87" s="243">
        <f>H87</f>
        <v>0.34799999999999998</v>
      </c>
      <c r="J87" s="197"/>
      <c r="K87" s="197"/>
      <c r="L87" s="114"/>
      <c r="M87" s="114"/>
      <c r="N87" s="114"/>
      <c r="O87" s="114"/>
    </row>
    <row r="88" spans="1:15" x14ac:dyDescent="0.3">
      <c r="A88" s="83" t="s">
        <v>43</v>
      </c>
      <c r="B88" s="63" t="s">
        <v>22</v>
      </c>
      <c r="C88" s="244">
        <v>0.76700000000000002</v>
      </c>
      <c r="D88" s="268">
        <v>0.71299999999999997</v>
      </c>
      <c r="E88" s="243">
        <f t="shared" ref="E88:E97" si="19">F88</f>
        <v>0.71</v>
      </c>
      <c r="F88" s="243">
        <f t="shared" ref="F88:F97" si="20">G88</f>
        <v>0.71</v>
      </c>
      <c r="G88" s="243">
        <v>0.71</v>
      </c>
      <c r="H88" s="243">
        <f t="shared" ref="H88:H97" si="21">F88</f>
        <v>0.71</v>
      </c>
      <c r="I88" s="243">
        <f t="shared" ref="I88:I97" si="22">H88</f>
        <v>0.71</v>
      </c>
      <c r="J88" s="197"/>
      <c r="K88" s="197"/>
      <c r="L88" s="114"/>
      <c r="M88" s="114"/>
      <c r="N88" s="114"/>
      <c r="O88" s="114"/>
    </row>
    <row r="89" spans="1:15" ht="37.5" x14ac:dyDescent="0.2">
      <c r="A89" s="71" t="s">
        <v>145</v>
      </c>
      <c r="B89" s="63" t="s">
        <v>22</v>
      </c>
      <c r="C89" s="244">
        <v>0.624</v>
      </c>
      <c r="D89" s="268">
        <v>0.59799999999999998</v>
      </c>
      <c r="E89" s="243">
        <f t="shared" si="19"/>
        <v>0.59799999999999998</v>
      </c>
      <c r="F89" s="243">
        <f t="shared" si="20"/>
        <v>0.59799999999999998</v>
      </c>
      <c r="G89" s="243">
        <f>D89</f>
        <v>0.59799999999999998</v>
      </c>
      <c r="H89" s="243">
        <f t="shared" si="21"/>
        <v>0.59799999999999998</v>
      </c>
      <c r="I89" s="243">
        <f t="shared" si="22"/>
        <v>0.59799999999999998</v>
      </c>
      <c r="J89" s="197"/>
      <c r="K89" s="197"/>
      <c r="L89" s="114"/>
      <c r="M89" s="114"/>
      <c r="N89" s="114"/>
      <c r="O89" s="114"/>
    </row>
    <row r="90" spans="1:15" x14ac:dyDescent="0.3">
      <c r="A90" s="83" t="s">
        <v>146</v>
      </c>
      <c r="B90" s="63" t="s">
        <v>22</v>
      </c>
      <c r="C90" s="244">
        <v>9.5000000000000001E-2</v>
      </c>
      <c r="D90" s="268">
        <v>9.6000000000000002E-2</v>
      </c>
      <c r="E90" s="243">
        <f t="shared" si="19"/>
        <v>9.6000000000000002E-2</v>
      </c>
      <c r="F90" s="243">
        <f t="shared" si="20"/>
        <v>9.6000000000000002E-2</v>
      </c>
      <c r="G90" s="243">
        <f>D90</f>
        <v>9.6000000000000002E-2</v>
      </c>
      <c r="H90" s="243">
        <f t="shared" si="21"/>
        <v>9.6000000000000002E-2</v>
      </c>
      <c r="I90" s="243">
        <f t="shared" si="22"/>
        <v>9.6000000000000002E-2</v>
      </c>
      <c r="J90" s="197"/>
      <c r="K90" s="197"/>
      <c r="L90" s="114"/>
      <c r="M90" s="114"/>
      <c r="N90" s="114"/>
      <c r="O90" s="114"/>
    </row>
    <row r="91" spans="1:15" x14ac:dyDescent="0.3">
      <c r="A91" s="83" t="s">
        <v>12</v>
      </c>
      <c r="B91" s="63" t="s">
        <v>22</v>
      </c>
      <c r="C91" s="244">
        <v>0.53400000000000003</v>
      </c>
      <c r="D91" s="268">
        <v>0.4</v>
      </c>
      <c r="E91" s="243">
        <f t="shared" si="19"/>
        <v>0.39500000000000002</v>
      </c>
      <c r="F91" s="243">
        <f t="shared" si="20"/>
        <v>0.39500000000000002</v>
      </c>
      <c r="G91" s="243">
        <v>0.39500000000000002</v>
      </c>
      <c r="H91" s="243">
        <f t="shared" si="21"/>
        <v>0.39500000000000002</v>
      </c>
      <c r="I91" s="243">
        <f t="shared" si="22"/>
        <v>0.39500000000000002</v>
      </c>
      <c r="J91" s="197"/>
      <c r="K91" s="197"/>
      <c r="L91" s="114"/>
      <c r="M91" s="114"/>
      <c r="N91" s="114"/>
      <c r="O91" s="114"/>
    </row>
    <row r="92" spans="1:15" ht="37.5" x14ac:dyDescent="0.2">
      <c r="A92" s="70" t="s">
        <v>147</v>
      </c>
      <c r="B92" s="63" t="s">
        <v>22</v>
      </c>
      <c r="C92" s="244">
        <v>3.3450000000000002</v>
      </c>
      <c r="D92" s="268">
        <v>3.2879999999999998</v>
      </c>
      <c r="E92" s="243">
        <f t="shared" si="19"/>
        <v>3.2879999999999998</v>
      </c>
      <c r="F92" s="243">
        <f t="shared" si="20"/>
        <v>3.2879999999999998</v>
      </c>
      <c r="G92" s="243">
        <f>D92</f>
        <v>3.2879999999999998</v>
      </c>
      <c r="H92" s="243">
        <f t="shared" si="21"/>
        <v>3.2879999999999998</v>
      </c>
      <c r="I92" s="243">
        <f t="shared" si="22"/>
        <v>3.2879999999999998</v>
      </c>
      <c r="J92" s="197"/>
      <c r="K92" s="197"/>
      <c r="L92" s="114"/>
      <c r="M92" s="114"/>
      <c r="N92" s="198"/>
      <c r="O92" s="114"/>
    </row>
    <row r="93" spans="1:15" x14ac:dyDescent="0.2">
      <c r="A93" s="72" t="s">
        <v>177</v>
      </c>
      <c r="B93" s="63" t="s">
        <v>22</v>
      </c>
      <c r="C93" s="244">
        <v>2.5619999999999998</v>
      </c>
      <c r="D93" s="268">
        <v>2.6680000000000001</v>
      </c>
      <c r="E93" s="243">
        <f t="shared" si="19"/>
        <v>2.6360000000000001</v>
      </c>
      <c r="F93" s="243">
        <f t="shared" si="20"/>
        <v>2.6360000000000001</v>
      </c>
      <c r="G93" s="243">
        <v>2.6360000000000001</v>
      </c>
      <c r="H93" s="243">
        <f t="shared" si="21"/>
        <v>2.6360000000000001</v>
      </c>
      <c r="I93" s="243">
        <f t="shared" si="22"/>
        <v>2.6360000000000001</v>
      </c>
      <c r="J93" s="197"/>
      <c r="K93" s="199"/>
      <c r="L93" s="114"/>
      <c r="M93" s="114"/>
      <c r="N93" s="198"/>
      <c r="O93" s="114"/>
    </row>
    <row r="94" spans="1:15" x14ac:dyDescent="0.2">
      <c r="A94" s="72" t="s">
        <v>178</v>
      </c>
      <c r="B94" s="63" t="s">
        <v>22</v>
      </c>
      <c r="C94" s="244">
        <v>1.7000000000000001E-2</v>
      </c>
      <c r="D94" s="268">
        <v>7.4999999999999997E-2</v>
      </c>
      <c r="E94" s="243">
        <f t="shared" si="19"/>
        <v>7.4999999999999997E-2</v>
      </c>
      <c r="F94" s="243">
        <f t="shared" si="20"/>
        <v>7.4999999999999997E-2</v>
      </c>
      <c r="G94" s="243">
        <f>D94</f>
        <v>7.4999999999999997E-2</v>
      </c>
      <c r="H94" s="243">
        <f t="shared" si="21"/>
        <v>7.4999999999999997E-2</v>
      </c>
      <c r="I94" s="243">
        <f t="shared" si="22"/>
        <v>7.4999999999999997E-2</v>
      </c>
      <c r="J94" s="197"/>
      <c r="K94" s="199"/>
      <c r="L94" s="114"/>
      <c r="M94" s="114"/>
      <c r="N94" s="114"/>
      <c r="O94" s="114"/>
    </row>
    <row r="95" spans="1:15" ht="37.5" x14ac:dyDescent="0.2">
      <c r="A95" s="71" t="s">
        <v>41</v>
      </c>
      <c r="B95" s="63" t="s">
        <v>22</v>
      </c>
      <c r="C95" s="244">
        <v>0.94899999999999995</v>
      </c>
      <c r="D95" s="268">
        <v>0.83199999999999996</v>
      </c>
      <c r="E95" s="243">
        <f t="shared" si="19"/>
        <v>0.83199999999999996</v>
      </c>
      <c r="F95" s="243">
        <f t="shared" si="20"/>
        <v>0.83199999999999996</v>
      </c>
      <c r="G95" s="243">
        <f>D95</f>
        <v>0.83199999999999996</v>
      </c>
      <c r="H95" s="243">
        <f t="shared" si="21"/>
        <v>0.83199999999999996</v>
      </c>
      <c r="I95" s="243">
        <f t="shared" si="22"/>
        <v>0.83199999999999996</v>
      </c>
      <c r="J95" s="197"/>
      <c r="K95" s="197"/>
      <c r="L95" s="114"/>
      <c r="M95" s="114"/>
      <c r="N95" s="114"/>
      <c r="O95" s="114"/>
    </row>
    <row r="96" spans="1:15" x14ac:dyDescent="0.3">
      <c r="A96" s="83" t="s">
        <v>44</v>
      </c>
      <c r="B96" s="63" t="s">
        <v>22</v>
      </c>
      <c r="C96" s="244">
        <v>1.8320000000000001</v>
      </c>
      <c r="D96" s="268">
        <v>1.8660000000000001</v>
      </c>
      <c r="E96" s="243">
        <f t="shared" si="19"/>
        <v>1.8660000000000001</v>
      </c>
      <c r="F96" s="243">
        <f t="shared" si="20"/>
        <v>1.8660000000000001</v>
      </c>
      <c r="G96" s="243">
        <f>D96</f>
        <v>1.8660000000000001</v>
      </c>
      <c r="H96" s="243">
        <f t="shared" si="21"/>
        <v>1.8660000000000001</v>
      </c>
      <c r="I96" s="243">
        <f t="shared" si="22"/>
        <v>1.8660000000000001</v>
      </c>
      <c r="J96" s="197"/>
      <c r="K96" s="197"/>
      <c r="L96" s="114"/>
      <c r="M96" s="114"/>
      <c r="N96" s="114"/>
      <c r="O96" s="114"/>
    </row>
    <row r="97" spans="1:15" x14ac:dyDescent="0.3">
      <c r="A97" s="83" t="s">
        <v>45</v>
      </c>
      <c r="B97" s="63" t="s">
        <v>22</v>
      </c>
      <c r="C97" s="244">
        <v>0.82799999999999996</v>
      </c>
      <c r="D97" s="268">
        <v>0.755</v>
      </c>
      <c r="E97" s="243">
        <f t="shared" si="19"/>
        <v>0.755</v>
      </c>
      <c r="F97" s="243">
        <f t="shared" si="20"/>
        <v>0.755</v>
      </c>
      <c r="G97" s="243">
        <f>D97</f>
        <v>0.755</v>
      </c>
      <c r="H97" s="243">
        <f t="shared" si="21"/>
        <v>0.755</v>
      </c>
      <c r="I97" s="243">
        <f t="shared" si="22"/>
        <v>0.755</v>
      </c>
      <c r="J97" s="197"/>
      <c r="K97" s="197"/>
      <c r="L97" s="114"/>
      <c r="M97" s="114"/>
      <c r="N97" s="114"/>
      <c r="O97" s="114"/>
    </row>
    <row r="98" spans="1:15" x14ac:dyDescent="0.3">
      <c r="A98" s="83" t="s">
        <v>47</v>
      </c>
      <c r="B98" s="63" t="s">
        <v>22</v>
      </c>
      <c r="C98" s="244">
        <v>1.034</v>
      </c>
      <c r="D98" s="268">
        <f>D81-(D83+D87+D88+D89+D90+D91+D92+D93+D94+D95+D96+D97)</f>
        <v>1.5839999999999979</v>
      </c>
      <c r="E98" s="268">
        <f t="shared" ref="E98:I98" si="23">E81-(E83+E87+E88+E89+E90+E91+E92+E93+E94+E95+E96+E97)</f>
        <v>1.6140000000000008</v>
      </c>
      <c r="F98" s="268">
        <f t="shared" si="23"/>
        <v>1.6140000000000008</v>
      </c>
      <c r="G98" s="268">
        <f t="shared" si="23"/>
        <v>1.6140000000000008</v>
      </c>
      <c r="H98" s="268">
        <f t="shared" si="23"/>
        <v>1.6140000000000008</v>
      </c>
      <c r="I98" s="268">
        <f t="shared" si="23"/>
        <v>1.6140000000000008</v>
      </c>
      <c r="J98" s="197"/>
      <c r="K98" s="197"/>
      <c r="L98" s="114"/>
      <c r="M98" s="114"/>
      <c r="N98" s="114"/>
      <c r="O98" s="114"/>
    </row>
    <row r="99" spans="1:15" ht="54.75" customHeight="1" x14ac:dyDescent="0.3">
      <c r="A99" s="85" t="s">
        <v>58</v>
      </c>
      <c r="B99" s="63" t="s">
        <v>22</v>
      </c>
      <c r="C99" s="242">
        <v>2.0979999999999999</v>
      </c>
      <c r="D99" s="242">
        <v>2.1030000000000002</v>
      </c>
      <c r="E99" s="243">
        <v>2.0859999999999999</v>
      </c>
      <c r="F99" s="242">
        <v>2.0859999999999999</v>
      </c>
      <c r="G99" s="242">
        <v>2.093</v>
      </c>
      <c r="H99" s="242">
        <v>2.0880000000000001</v>
      </c>
      <c r="I99" s="242">
        <v>2.0960000000000001</v>
      </c>
    </row>
    <row r="100" spans="1:15" x14ac:dyDescent="0.3">
      <c r="A100" s="86" t="s">
        <v>46</v>
      </c>
      <c r="B100" s="63"/>
      <c r="C100" s="244"/>
      <c r="D100" s="244"/>
      <c r="E100" s="243"/>
      <c r="F100" s="244"/>
      <c r="G100" s="245"/>
      <c r="H100" s="244"/>
      <c r="I100" s="245"/>
    </row>
    <row r="101" spans="1:15" ht="37.5" x14ac:dyDescent="0.2">
      <c r="A101" s="117" t="s">
        <v>273</v>
      </c>
      <c r="B101" s="63" t="s">
        <v>22</v>
      </c>
      <c r="C101" s="242">
        <v>0.2</v>
      </c>
      <c r="D101" s="242">
        <v>0.17199999999999999</v>
      </c>
      <c r="E101" s="243">
        <v>0.17699999999999999</v>
      </c>
      <c r="F101" s="242">
        <v>0.17699999999999999</v>
      </c>
      <c r="G101" s="242">
        <v>0.18099999999999999</v>
      </c>
      <c r="H101" s="242">
        <v>0.17699999999999999</v>
      </c>
      <c r="I101" s="242">
        <v>0.184</v>
      </c>
    </row>
    <row r="102" spans="1:15" x14ac:dyDescent="0.3">
      <c r="A102" s="118" t="s">
        <v>179</v>
      </c>
      <c r="B102" s="63" t="s">
        <v>22</v>
      </c>
      <c r="C102" s="244"/>
      <c r="D102" s="244"/>
      <c r="E102" s="243"/>
      <c r="F102" s="244"/>
      <c r="G102" s="245"/>
      <c r="H102" s="244"/>
      <c r="I102" s="246"/>
    </row>
    <row r="103" spans="1:15" x14ac:dyDescent="0.3">
      <c r="A103" s="118" t="s">
        <v>41</v>
      </c>
      <c r="B103" s="63" t="s">
        <v>21</v>
      </c>
      <c r="C103" s="242">
        <v>0.26900000000000002</v>
      </c>
      <c r="D103" s="242">
        <v>0.27200000000000002</v>
      </c>
      <c r="E103" s="243">
        <v>0.27700000000000002</v>
      </c>
      <c r="F103" s="242">
        <v>0.27700000000000002</v>
      </c>
      <c r="G103" s="242">
        <v>0.27900000000000003</v>
      </c>
      <c r="H103" s="247">
        <v>0.27900000000000003</v>
      </c>
      <c r="I103" s="248">
        <v>0.28000000000000003</v>
      </c>
    </row>
    <row r="104" spans="1:15" x14ac:dyDescent="0.3">
      <c r="A104" s="118" t="s">
        <v>44</v>
      </c>
      <c r="B104" s="63" t="s">
        <v>21</v>
      </c>
      <c r="C104" s="244">
        <v>1.5449999999999999</v>
      </c>
      <c r="D104" s="245">
        <v>1.575</v>
      </c>
      <c r="E104" s="243">
        <v>1.5489999999999999</v>
      </c>
      <c r="F104" s="244">
        <v>1.5489999999999999</v>
      </c>
      <c r="G104" s="245">
        <v>1.5489999999999999</v>
      </c>
      <c r="H104" s="249">
        <v>1.5489999999999999</v>
      </c>
      <c r="I104" s="250">
        <v>1.5489999999999999</v>
      </c>
    </row>
    <row r="105" spans="1:15" x14ac:dyDescent="0.3">
      <c r="A105" s="118" t="s">
        <v>286</v>
      </c>
      <c r="B105" s="63" t="s">
        <v>21</v>
      </c>
      <c r="C105" s="251">
        <f>C99-(C101+C103+C104)</f>
        <v>8.4000000000000075E-2</v>
      </c>
      <c r="D105" s="251">
        <f t="shared" ref="D105:I105" si="24">D99-(D101+D103+D104)</f>
        <v>8.4000000000000075E-2</v>
      </c>
      <c r="E105" s="251">
        <f t="shared" si="24"/>
        <v>8.2999999999999741E-2</v>
      </c>
      <c r="F105" s="251">
        <f t="shared" si="24"/>
        <v>8.2999999999999741E-2</v>
      </c>
      <c r="G105" s="251">
        <f t="shared" si="24"/>
        <v>8.4000000000000075E-2</v>
      </c>
      <c r="H105" s="251">
        <f t="shared" si="24"/>
        <v>8.3000000000000185E-2</v>
      </c>
      <c r="I105" s="251">
        <f t="shared" si="24"/>
        <v>8.3000000000000185E-2</v>
      </c>
    </row>
    <row r="106" spans="1:15" ht="56.25" x14ac:dyDescent="0.3">
      <c r="A106" s="87" t="s">
        <v>71</v>
      </c>
      <c r="B106" s="63" t="s">
        <v>22</v>
      </c>
      <c r="C106" s="244">
        <v>1.5049999999999999</v>
      </c>
      <c r="D106" s="244">
        <v>1.5049999999999999</v>
      </c>
      <c r="E106" s="243">
        <f t="shared" ref="E106:E120" si="25">D106</f>
        <v>1.5049999999999999</v>
      </c>
      <c r="F106" s="244">
        <v>1.5049999999999999</v>
      </c>
      <c r="G106" s="244">
        <v>1.5049999999999999</v>
      </c>
      <c r="H106" s="244">
        <v>1.5049999999999999</v>
      </c>
      <c r="I106" s="252">
        <v>1.5049999999999999</v>
      </c>
    </row>
    <row r="107" spans="1:15" ht="19.5" x14ac:dyDescent="0.2">
      <c r="A107" s="69" t="s">
        <v>23</v>
      </c>
      <c r="B107" s="63"/>
      <c r="C107" s="76"/>
      <c r="D107" s="253"/>
      <c r="E107" s="243"/>
      <c r="F107" s="253"/>
      <c r="G107" s="254"/>
      <c r="H107" s="253"/>
      <c r="I107" s="254"/>
    </row>
    <row r="108" spans="1:15" ht="37.5" x14ac:dyDescent="0.3">
      <c r="A108" s="88" t="s">
        <v>276</v>
      </c>
      <c r="B108" s="63" t="s">
        <v>22</v>
      </c>
      <c r="C108" s="242">
        <v>1.4E-2</v>
      </c>
      <c r="D108" s="242">
        <v>1.4E-2</v>
      </c>
      <c r="E108" s="243">
        <f t="shared" si="25"/>
        <v>1.4E-2</v>
      </c>
      <c r="F108" s="242">
        <v>1.4E-2</v>
      </c>
      <c r="G108" s="242">
        <v>1.4E-2</v>
      </c>
      <c r="H108" s="242">
        <v>1.4E-2</v>
      </c>
      <c r="I108" s="242">
        <v>1.4E-2</v>
      </c>
    </row>
    <row r="109" spans="1:15" ht="37.5" x14ac:dyDescent="0.2">
      <c r="A109" s="89" t="s">
        <v>142</v>
      </c>
      <c r="B109" s="63" t="s">
        <v>21</v>
      </c>
      <c r="C109" s="255">
        <v>0</v>
      </c>
      <c r="D109" s="255">
        <v>0</v>
      </c>
      <c r="E109" s="256">
        <v>0</v>
      </c>
      <c r="F109" s="255">
        <v>0</v>
      </c>
      <c r="G109" s="255">
        <v>0</v>
      </c>
      <c r="H109" s="255">
        <v>0</v>
      </c>
      <c r="I109" s="255">
        <v>0</v>
      </c>
    </row>
    <row r="110" spans="1:15" x14ac:dyDescent="0.3">
      <c r="A110" s="90" t="s">
        <v>143</v>
      </c>
      <c r="B110" s="63" t="s">
        <v>22</v>
      </c>
      <c r="C110" s="255">
        <v>0</v>
      </c>
      <c r="D110" s="255">
        <v>0</v>
      </c>
      <c r="E110" s="256">
        <v>0</v>
      </c>
      <c r="F110" s="255">
        <v>0</v>
      </c>
      <c r="G110" s="255">
        <v>0</v>
      </c>
      <c r="H110" s="255">
        <v>0</v>
      </c>
      <c r="I110" s="255">
        <v>0</v>
      </c>
    </row>
    <row r="111" spans="1:15" x14ac:dyDescent="0.3">
      <c r="A111" s="90" t="s">
        <v>144</v>
      </c>
      <c r="B111" s="63" t="s">
        <v>22</v>
      </c>
      <c r="C111" s="244">
        <v>8.9999999999999993E-3</v>
      </c>
      <c r="D111" s="244">
        <v>8.9999999999999993E-3</v>
      </c>
      <c r="E111" s="243">
        <f t="shared" si="25"/>
        <v>8.9999999999999993E-3</v>
      </c>
      <c r="F111" s="244">
        <v>8.9999999999999993E-3</v>
      </c>
      <c r="G111" s="244">
        <v>8.9999999999999993E-3</v>
      </c>
      <c r="H111" s="244">
        <v>8.9999999999999993E-3</v>
      </c>
      <c r="I111" s="244">
        <v>8.9999999999999993E-3</v>
      </c>
    </row>
    <row r="112" spans="1:15" ht="24" customHeight="1" x14ac:dyDescent="0.2">
      <c r="A112" s="72" t="s">
        <v>42</v>
      </c>
      <c r="B112" s="63" t="s">
        <v>22</v>
      </c>
      <c r="C112" s="255">
        <v>0</v>
      </c>
      <c r="D112" s="255">
        <v>0</v>
      </c>
      <c r="E112" s="255">
        <v>0</v>
      </c>
      <c r="F112" s="255">
        <v>0</v>
      </c>
      <c r="G112" s="255">
        <v>0</v>
      </c>
      <c r="H112" s="255">
        <v>0</v>
      </c>
      <c r="I112" s="255">
        <v>0</v>
      </c>
    </row>
    <row r="113" spans="1:13" x14ac:dyDescent="0.3">
      <c r="A113" s="90" t="s">
        <v>43</v>
      </c>
      <c r="B113" s="63" t="s">
        <v>21</v>
      </c>
      <c r="C113" s="244">
        <v>0.29799999999999999</v>
      </c>
      <c r="D113" s="244">
        <v>0.29799999999999999</v>
      </c>
      <c r="E113" s="243">
        <f t="shared" si="25"/>
        <v>0.29799999999999999</v>
      </c>
      <c r="F113" s="244">
        <v>0.29799999999999999</v>
      </c>
      <c r="G113" s="244">
        <v>0.29799999999999999</v>
      </c>
      <c r="H113" s="244">
        <v>0.29799999999999999</v>
      </c>
      <c r="I113" s="244">
        <v>0.29799999999999999</v>
      </c>
    </row>
    <row r="114" spans="1:13" ht="37.5" x14ac:dyDescent="0.2">
      <c r="A114" s="91" t="s">
        <v>145</v>
      </c>
      <c r="B114" s="63" t="s">
        <v>21</v>
      </c>
      <c r="C114" s="244">
        <v>4.0000000000000001E-3</v>
      </c>
      <c r="D114" s="244">
        <v>4.0000000000000001E-3</v>
      </c>
      <c r="E114" s="243">
        <f t="shared" si="25"/>
        <v>4.0000000000000001E-3</v>
      </c>
      <c r="F114" s="244">
        <v>4.0000000000000001E-3</v>
      </c>
      <c r="G114" s="244">
        <v>4.0000000000000001E-3</v>
      </c>
      <c r="H114" s="244">
        <v>4.0000000000000001E-3</v>
      </c>
      <c r="I114" s="244">
        <v>4.0000000000000001E-3</v>
      </c>
    </row>
    <row r="115" spans="1:13" ht="56.25" x14ac:dyDescent="0.3">
      <c r="A115" s="90" t="s">
        <v>146</v>
      </c>
      <c r="B115" s="63" t="s">
        <v>21</v>
      </c>
      <c r="C115" s="244">
        <v>6.8000000000000005E-2</v>
      </c>
      <c r="D115" s="244">
        <v>6.8000000000000005E-2</v>
      </c>
      <c r="E115" s="243">
        <f t="shared" si="25"/>
        <v>6.8000000000000005E-2</v>
      </c>
      <c r="F115" s="244">
        <v>6.8000000000000005E-2</v>
      </c>
      <c r="G115" s="244">
        <v>6.8000000000000005E-2</v>
      </c>
      <c r="H115" s="244">
        <v>6.8000000000000005E-2</v>
      </c>
      <c r="I115" s="244">
        <v>6.8000000000000005E-2</v>
      </c>
      <c r="J115" s="40"/>
      <c r="K115" s="183"/>
      <c r="L115" s="40"/>
      <c r="M115" s="40"/>
    </row>
    <row r="116" spans="1:13" x14ac:dyDescent="0.3">
      <c r="A116" s="90" t="s">
        <v>12</v>
      </c>
      <c r="B116" s="63" t="s">
        <v>21</v>
      </c>
      <c r="C116" s="242">
        <v>8.1794766966475876E-2</v>
      </c>
      <c r="D116" s="242">
        <f>C116-M116</f>
        <v>8.1794766966475876E-2</v>
      </c>
      <c r="E116" s="243">
        <f>D116</f>
        <v>8.1794766966475876E-2</v>
      </c>
      <c r="F116" s="242">
        <f>D116-N116</f>
        <v>8.1794766966475876E-2</v>
      </c>
      <c r="G116" s="242">
        <f t="shared" ref="G116:I117" si="26">F116-O116</f>
        <v>8.1794766966475876E-2</v>
      </c>
      <c r="H116" s="242">
        <f t="shared" si="26"/>
        <v>8.1794766966475876E-2</v>
      </c>
      <c r="I116" s="242">
        <f t="shared" si="26"/>
        <v>8.1794766966475876E-2</v>
      </c>
      <c r="J116" s="184"/>
      <c r="K116" s="200"/>
      <c r="L116" s="181"/>
      <c r="M116" s="40"/>
    </row>
    <row r="117" spans="1:13" ht="37.5" x14ac:dyDescent="0.3">
      <c r="A117" s="90" t="s">
        <v>147</v>
      </c>
      <c r="B117" s="63" t="s">
        <v>21</v>
      </c>
      <c r="C117" s="242">
        <v>0.25313327882256742</v>
      </c>
      <c r="D117" s="242">
        <f>C117-M117</f>
        <v>0.25313327882256742</v>
      </c>
      <c r="E117" s="243">
        <f t="shared" si="25"/>
        <v>0.25313327882256742</v>
      </c>
      <c r="F117" s="242">
        <f>D117-N117</f>
        <v>0.25313327882256742</v>
      </c>
      <c r="G117" s="242">
        <f t="shared" si="26"/>
        <v>0.25313327882256742</v>
      </c>
      <c r="H117" s="242">
        <f t="shared" si="26"/>
        <v>0.25313327882256742</v>
      </c>
      <c r="I117" s="242">
        <f t="shared" si="26"/>
        <v>0.25313327882256742</v>
      </c>
      <c r="J117" s="184"/>
      <c r="K117" s="200"/>
      <c r="L117" s="181"/>
      <c r="M117" s="40"/>
    </row>
    <row r="118" spans="1:13" x14ac:dyDescent="0.2">
      <c r="A118" s="72" t="s">
        <v>177</v>
      </c>
      <c r="B118" s="63"/>
      <c r="C118" s="244">
        <v>4.4999999999999998E-2</v>
      </c>
      <c r="D118" s="244">
        <v>4.4999999999999998E-2</v>
      </c>
      <c r="E118" s="243">
        <f t="shared" si="25"/>
        <v>4.4999999999999998E-2</v>
      </c>
      <c r="F118" s="244">
        <v>4.4999999999999998E-2</v>
      </c>
      <c r="G118" s="244">
        <v>4.4999999999999998E-2</v>
      </c>
      <c r="H118" s="244">
        <v>4.4999999999999998E-2</v>
      </c>
      <c r="I118" s="244">
        <v>4.4999999999999998E-2</v>
      </c>
      <c r="J118" s="184"/>
      <c r="K118" s="200"/>
      <c r="L118" s="181"/>
      <c r="M118" s="40"/>
    </row>
    <row r="119" spans="1:13" x14ac:dyDescent="0.2">
      <c r="A119" s="72" t="s">
        <v>178</v>
      </c>
      <c r="B119" s="63"/>
      <c r="C119" s="244">
        <v>1.4E-2</v>
      </c>
      <c r="D119" s="244">
        <v>1.4E-2</v>
      </c>
      <c r="E119" s="243">
        <f t="shared" si="25"/>
        <v>1.4E-2</v>
      </c>
      <c r="F119" s="244">
        <v>1.4E-2</v>
      </c>
      <c r="G119" s="244">
        <v>1.4E-2</v>
      </c>
      <c r="H119" s="244">
        <v>1.4E-2</v>
      </c>
      <c r="I119" s="244">
        <v>1.4E-2</v>
      </c>
      <c r="J119" s="184"/>
      <c r="K119" s="200"/>
      <c r="L119" s="181"/>
      <c r="M119" s="40"/>
    </row>
    <row r="120" spans="1:13" x14ac:dyDescent="0.3">
      <c r="A120" s="90" t="s">
        <v>47</v>
      </c>
      <c r="B120" s="63" t="s">
        <v>21</v>
      </c>
      <c r="C120" s="242">
        <v>0.7180719542109566</v>
      </c>
      <c r="D120" s="242">
        <f>C120-M120</f>
        <v>0.7180719542109566</v>
      </c>
      <c r="E120" s="243">
        <f t="shared" si="25"/>
        <v>0.7180719542109566</v>
      </c>
      <c r="F120" s="242">
        <f>D120-N120</f>
        <v>0.7180719542109566</v>
      </c>
      <c r="G120" s="242">
        <f>F120-O120</f>
        <v>0.7180719542109566</v>
      </c>
      <c r="H120" s="242">
        <f>G120-P120</f>
        <v>0.7180719542109566</v>
      </c>
      <c r="I120" s="242">
        <f>H120-Q120</f>
        <v>0.7180719542109566</v>
      </c>
      <c r="J120" s="184"/>
      <c r="K120" s="200"/>
      <c r="L120" s="181"/>
      <c r="M120" s="40"/>
    </row>
    <row r="121" spans="1:13" ht="39" x14ac:dyDescent="0.2">
      <c r="A121" s="73" t="s">
        <v>95</v>
      </c>
      <c r="B121" s="63" t="s">
        <v>8</v>
      </c>
      <c r="C121" s="257">
        <v>1.7</v>
      </c>
      <c r="D121" s="257">
        <v>0.7</v>
      </c>
      <c r="E121" s="257">
        <v>0.7</v>
      </c>
      <c r="F121" s="257">
        <v>0.7</v>
      </c>
      <c r="G121" s="258">
        <v>0.7</v>
      </c>
      <c r="H121" s="257">
        <v>0.7</v>
      </c>
      <c r="I121" s="258">
        <v>0.7</v>
      </c>
      <c r="J121" s="40"/>
      <c r="K121" s="200"/>
      <c r="L121" s="40"/>
      <c r="M121" s="40"/>
    </row>
    <row r="122" spans="1:13" ht="58.5" x14ac:dyDescent="0.2">
      <c r="A122" s="69" t="s">
        <v>75</v>
      </c>
      <c r="B122" s="63" t="s">
        <v>9</v>
      </c>
      <c r="C122" s="258">
        <v>30906.6</v>
      </c>
      <c r="D122" s="258">
        <f>D148/D81/12*1000</f>
        <v>32581.101986736008</v>
      </c>
      <c r="E122" s="258">
        <f>E148/E81/12*1000</f>
        <v>32101.859628123711</v>
      </c>
      <c r="F122" s="258">
        <f>F148/F81/12*1000</f>
        <v>30978.294541139374</v>
      </c>
      <c r="G122" s="258">
        <f>G148/G81/12*1000</f>
        <v>31650.845648275928</v>
      </c>
      <c r="H122" s="258">
        <f t="shared" ref="H122:I122" si="27">H148/H81/12*1000</f>
        <v>31071.229424762794</v>
      </c>
      <c r="I122" s="258">
        <f t="shared" si="27"/>
        <v>31413.012948435182</v>
      </c>
      <c r="J122" s="40"/>
      <c r="K122" s="183"/>
      <c r="L122" s="40"/>
      <c r="M122" s="40"/>
    </row>
    <row r="123" spans="1:13" ht="19.5" x14ac:dyDescent="0.2">
      <c r="A123" s="69" t="s">
        <v>23</v>
      </c>
      <c r="B123" s="63"/>
      <c r="C123" s="76"/>
      <c r="D123" s="76"/>
      <c r="E123" s="76"/>
      <c r="F123" s="76"/>
      <c r="G123" s="76"/>
      <c r="H123" s="76"/>
      <c r="I123" s="76"/>
    </row>
    <row r="124" spans="1:13" ht="37.5" x14ac:dyDescent="0.3">
      <c r="A124" s="82" t="s">
        <v>141</v>
      </c>
      <c r="B124" s="63" t="s">
        <v>9</v>
      </c>
      <c r="C124" s="259">
        <v>28820.400000000001</v>
      </c>
      <c r="D124" s="244">
        <v>29576.3</v>
      </c>
      <c r="E124" s="244">
        <f>D124*96.3%</f>
        <v>28481.976899999998</v>
      </c>
      <c r="F124" s="245">
        <f>E124*96.5%</f>
        <v>27485.107708499996</v>
      </c>
      <c r="G124" s="245">
        <f>E124*100.8%</f>
        <v>28709.832715199998</v>
      </c>
      <c r="H124" s="245">
        <f>G124*100.3%</f>
        <v>28795.962213345596</v>
      </c>
      <c r="I124" s="245">
        <f>H124*101.1%</f>
        <v>29112.717797692396</v>
      </c>
    </row>
    <row r="125" spans="1:13" ht="37.5" x14ac:dyDescent="0.2">
      <c r="A125" s="71" t="s">
        <v>142</v>
      </c>
      <c r="B125" s="63" t="s">
        <v>9</v>
      </c>
      <c r="C125" s="244"/>
      <c r="D125" s="244"/>
      <c r="E125" s="244"/>
      <c r="F125" s="245"/>
      <c r="G125" s="245"/>
      <c r="H125" s="245"/>
      <c r="I125" s="245"/>
    </row>
    <row r="126" spans="1:13" x14ac:dyDescent="0.3">
      <c r="A126" s="83" t="s">
        <v>143</v>
      </c>
      <c r="B126" s="63" t="s">
        <v>9</v>
      </c>
      <c r="C126" s="244"/>
      <c r="D126" s="244"/>
      <c r="E126" s="244"/>
      <c r="F126" s="245"/>
      <c r="G126" s="245"/>
      <c r="H126" s="245"/>
      <c r="I126" s="245"/>
    </row>
    <row r="127" spans="1:13" x14ac:dyDescent="0.3">
      <c r="A127" s="83" t="s">
        <v>144</v>
      </c>
      <c r="B127" s="63" t="s">
        <v>9</v>
      </c>
      <c r="C127" s="244"/>
      <c r="D127" s="244"/>
      <c r="E127" s="244"/>
      <c r="F127" s="245"/>
      <c r="G127" s="245"/>
      <c r="H127" s="245"/>
      <c r="I127" s="245"/>
    </row>
    <row r="128" spans="1:13" x14ac:dyDescent="0.3">
      <c r="A128" s="83" t="s">
        <v>42</v>
      </c>
      <c r="B128" s="63" t="s">
        <v>9</v>
      </c>
      <c r="C128" s="260">
        <v>40748</v>
      </c>
      <c r="D128" s="244">
        <v>49273.2</v>
      </c>
      <c r="E128" s="244">
        <f t="shared" ref="E128:E139" si="28">D128*96.3%</f>
        <v>47450.091599999992</v>
      </c>
      <c r="F128" s="245">
        <f t="shared" ref="F128:F139" si="29">E128*96.5%</f>
        <v>45789.338393999991</v>
      </c>
      <c r="G128" s="245">
        <f t="shared" ref="G128:G139" si="30">E128*100.8%</f>
        <v>47829.69233279999</v>
      </c>
      <c r="H128" s="245">
        <f t="shared" ref="H128:H139" si="31">G128*100.3%</f>
        <v>47973.181409798388</v>
      </c>
      <c r="I128" s="245">
        <f t="shared" ref="I128:I139" si="32">H128*101.1%</f>
        <v>48500.886405306162</v>
      </c>
    </row>
    <row r="129" spans="1:9" x14ac:dyDescent="0.3">
      <c r="A129" s="83" t="s">
        <v>43</v>
      </c>
      <c r="B129" s="63" t="s">
        <v>9</v>
      </c>
      <c r="C129" s="260">
        <v>24172.14</v>
      </c>
      <c r="D129" s="244">
        <v>36046.1</v>
      </c>
      <c r="E129" s="244">
        <f t="shared" si="28"/>
        <v>34712.3943</v>
      </c>
      <c r="F129" s="245">
        <f t="shared" si="29"/>
        <v>33497.460499499997</v>
      </c>
      <c r="G129" s="245">
        <f t="shared" si="30"/>
        <v>34990.093454399997</v>
      </c>
      <c r="H129" s="245">
        <f t="shared" si="31"/>
        <v>35095.063734763193</v>
      </c>
      <c r="I129" s="245">
        <f t="shared" si="32"/>
        <v>35481.109435845581</v>
      </c>
    </row>
    <row r="130" spans="1:9" ht="37.5" x14ac:dyDescent="0.2">
      <c r="A130" s="91" t="s">
        <v>145</v>
      </c>
      <c r="B130" s="63" t="s">
        <v>9</v>
      </c>
      <c r="C130" s="260">
        <v>34687.800000000003</v>
      </c>
      <c r="D130" s="244">
        <v>37014.800000000003</v>
      </c>
      <c r="E130" s="244">
        <f t="shared" si="28"/>
        <v>35645.252400000005</v>
      </c>
      <c r="F130" s="245">
        <f t="shared" si="29"/>
        <v>34397.668566</v>
      </c>
      <c r="G130" s="245">
        <f t="shared" si="30"/>
        <v>35930.414419200002</v>
      </c>
      <c r="H130" s="245">
        <f t="shared" si="31"/>
        <v>36038.2056624576</v>
      </c>
      <c r="I130" s="245">
        <f t="shared" si="32"/>
        <v>36434.625924744629</v>
      </c>
    </row>
    <row r="131" spans="1:9" x14ac:dyDescent="0.3">
      <c r="A131" s="83" t="s">
        <v>146</v>
      </c>
      <c r="B131" s="63" t="s">
        <v>9</v>
      </c>
      <c r="C131" s="260">
        <v>27322</v>
      </c>
      <c r="D131" s="244">
        <v>31367.200000000001</v>
      </c>
      <c r="E131" s="244">
        <f t="shared" si="28"/>
        <v>30206.613600000001</v>
      </c>
      <c r="F131" s="245">
        <f t="shared" si="29"/>
        <v>29149.382124</v>
      </c>
      <c r="G131" s="245">
        <f t="shared" si="30"/>
        <v>30448.266508799999</v>
      </c>
      <c r="H131" s="245">
        <f t="shared" si="31"/>
        <v>30539.611308326395</v>
      </c>
      <c r="I131" s="245">
        <f t="shared" si="32"/>
        <v>30875.547032717983</v>
      </c>
    </row>
    <row r="132" spans="1:9" x14ac:dyDescent="0.2">
      <c r="A132" s="71" t="s">
        <v>12</v>
      </c>
      <c r="B132" s="63" t="s">
        <v>9</v>
      </c>
      <c r="C132" s="260">
        <v>52255.4</v>
      </c>
      <c r="D132" s="244">
        <v>56341.9</v>
      </c>
      <c r="E132" s="244">
        <f t="shared" si="28"/>
        <v>54257.2497</v>
      </c>
      <c r="F132" s="245">
        <f t="shared" si="29"/>
        <v>52358.245960499997</v>
      </c>
      <c r="G132" s="245">
        <f t="shared" si="30"/>
        <v>54691.307697600001</v>
      </c>
      <c r="H132" s="245">
        <f t="shared" si="31"/>
        <v>54855.381620692795</v>
      </c>
      <c r="I132" s="245">
        <f t="shared" si="32"/>
        <v>55458.790818520407</v>
      </c>
    </row>
    <row r="133" spans="1:9" ht="37.5" x14ac:dyDescent="0.3">
      <c r="A133" s="82" t="s">
        <v>147</v>
      </c>
      <c r="B133" s="63" t="s">
        <v>9</v>
      </c>
      <c r="C133" s="260">
        <v>25733.87</v>
      </c>
      <c r="D133" s="244">
        <v>29047.8</v>
      </c>
      <c r="E133" s="244">
        <f t="shared" si="28"/>
        <v>27973.0314</v>
      </c>
      <c r="F133" s="245">
        <f t="shared" si="29"/>
        <v>26993.975300999999</v>
      </c>
      <c r="G133" s="245">
        <f t="shared" si="30"/>
        <v>28196.815651199999</v>
      </c>
      <c r="H133" s="245">
        <f t="shared" si="31"/>
        <v>28281.406098153595</v>
      </c>
      <c r="I133" s="245">
        <f t="shared" si="32"/>
        <v>28592.50156523328</v>
      </c>
    </row>
    <row r="134" spans="1:9" x14ac:dyDescent="0.2">
      <c r="A134" s="72" t="s">
        <v>177</v>
      </c>
      <c r="B134" s="63" t="s">
        <v>9</v>
      </c>
      <c r="C134" s="251">
        <v>37957.088377862492</v>
      </c>
      <c r="D134" s="244">
        <f>C134*102.9%</f>
        <v>39057.843940820509</v>
      </c>
      <c r="E134" s="244">
        <f t="shared" si="28"/>
        <v>37612.703715010146</v>
      </c>
      <c r="F134" s="245">
        <f t="shared" si="29"/>
        <v>36296.259084984791</v>
      </c>
      <c r="G134" s="245">
        <f t="shared" si="30"/>
        <v>37913.605344730226</v>
      </c>
      <c r="H134" s="245">
        <f t="shared" si="31"/>
        <v>38027.346160764413</v>
      </c>
      <c r="I134" s="245">
        <f t="shared" si="32"/>
        <v>38445.646968532819</v>
      </c>
    </row>
    <row r="135" spans="1:9" x14ac:dyDescent="0.2">
      <c r="A135" s="72" t="s">
        <v>178</v>
      </c>
      <c r="B135" s="63" t="s">
        <v>9</v>
      </c>
      <c r="C135" s="251">
        <v>34065.362499999996</v>
      </c>
      <c r="D135" s="244">
        <f>C135*102.9%</f>
        <v>35053.258012500002</v>
      </c>
      <c r="E135" s="244">
        <f t="shared" si="28"/>
        <v>33756.287466037502</v>
      </c>
      <c r="F135" s="245">
        <f t="shared" si="29"/>
        <v>32574.817404726189</v>
      </c>
      <c r="G135" s="245">
        <f t="shared" si="30"/>
        <v>34026.337765765806</v>
      </c>
      <c r="H135" s="245">
        <f t="shared" si="31"/>
        <v>34128.416779063096</v>
      </c>
      <c r="I135" s="245">
        <f t="shared" si="32"/>
        <v>34503.829363632787</v>
      </c>
    </row>
    <row r="136" spans="1:9" ht="37.5" x14ac:dyDescent="0.3">
      <c r="A136" s="82" t="s">
        <v>41</v>
      </c>
      <c r="B136" s="63" t="s">
        <v>9</v>
      </c>
      <c r="C136" s="260">
        <v>54714.9</v>
      </c>
      <c r="D136" s="244">
        <v>57662.400000000001</v>
      </c>
      <c r="E136" s="244">
        <f t="shared" si="28"/>
        <v>55528.891199999998</v>
      </c>
      <c r="F136" s="245">
        <f t="shared" si="29"/>
        <v>53585.380008</v>
      </c>
      <c r="G136" s="245">
        <f t="shared" si="30"/>
        <v>55973.122329599995</v>
      </c>
      <c r="H136" s="245">
        <f t="shared" si="31"/>
        <v>56141.041696588793</v>
      </c>
      <c r="I136" s="245">
        <f t="shared" si="32"/>
        <v>56758.593155251263</v>
      </c>
    </row>
    <row r="137" spans="1:9" x14ac:dyDescent="0.3">
      <c r="A137" s="84" t="s">
        <v>44</v>
      </c>
      <c r="B137" s="63" t="s">
        <v>9</v>
      </c>
      <c r="C137" s="260">
        <v>31624.2</v>
      </c>
      <c r="D137" s="244">
        <v>34496</v>
      </c>
      <c r="E137" s="244">
        <f t="shared" si="28"/>
        <v>33219.648000000001</v>
      </c>
      <c r="F137" s="245">
        <f t="shared" si="29"/>
        <v>32056.960319999998</v>
      </c>
      <c r="G137" s="245">
        <f t="shared" si="30"/>
        <v>33485.405184000003</v>
      </c>
      <c r="H137" s="245">
        <f t="shared" si="31"/>
        <v>33585.861399551999</v>
      </c>
      <c r="I137" s="245">
        <f t="shared" si="32"/>
        <v>33955.305874947066</v>
      </c>
    </row>
    <row r="138" spans="1:9" x14ac:dyDescent="0.3">
      <c r="A138" s="83" t="s">
        <v>45</v>
      </c>
      <c r="B138" s="63" t="s">
        <v>9</v>
      </c>
      <c r="C138" s="260">
        <v>43476.2</v>
      </c>
      <c r="D138" s="244">
        <v>43816.6</v>
      </c>
      <c r="E138" s="244">
        <f t="shared" si="28"/>
        <v>42195.385799999996</v>
      </c>
      <c r="F138" s="245">
        <f t="shared" si="29"/>
        <v>40718.547296999997</v>
      </c>
      <c r="G138" s="245">
        <f t="shared" si="30"/>
        <v>42532.948886399994</v>
      </c>
      <c r="H138" s="245">
        <f t="shared" si="31"/>
        <v>42660.547733059189</v>
      </c>
      <c r="I138" s="245">
        <f t="shared" si="32"/>
        <v>43129.813758122837</v>
      </c>
    </row>
    <row r="139" spans="1:9" x14ac:dyDescent="0.3">
      <c r="A139" s="83" t="s">
        <v>47</v>
      </c>
      <c r="B139" s="63" t="s">
        <v>9</v>
      </c>
      <c r="C139" s="251">
        <v>21251.945027625003</v>
      </c>
      <c r="D139" s="244">
        <f>C139*102.9%</f>
        <v>21868.251433426132</v>
      </c>
      <c r="E139" s="244">
        <f t="shared" si="28"/>
        <v>21059.126130389366</v>
      </c>
      <c r="F139" s="245">
        <f t="shared" si="29"/>
        <v>20322.056715825736</v>
      </c>
      <c r="G139" s="245">
        <f t="shared" si="30"/>
        <v>21227.599139432481</v>
      </c>
      <c r="H139" s="245">
        <f t="shared" si="31"/>
        <v>21291.281936850777</v>
      </c>
      <c r="I139" s="245">
        <f t="shared" si="32"/>
        <v>21525.486038156134</v>
      </c>
    </row>
    <row r="140" spans="1:9" ht="58.9" customHeight="1" x14ac:dyDescent="0.3">
      <c r="A140" s="85" t="s">
        <v>122</v>
      </c>
      <c r="B140" s="63" t="s">
        <v>9</v>
      </c>
      <c r="C140" s="251">
        <v>32679.7</v>
      </c>
      <c r="D140" s="251">
        <v>37466.9</v>
      </c>
      <c r="E140" s="251">
        <v>40180.9</v>
      </c>
      <c r="F140" s="251">
        <v>40682.300000000003</v>
      </c>
      <c r="G140" s="251">
        <v>40721.300000000003</v>
      </c>
      <c r="H140" s="251">
        <v>40909.1</v>
      </c>
      <c r="I140" s="251">
        <v>41203.800000000003</v>
      </c>
    </row>
    <row r="141" spans="1:9" x14ac:dyDescent="0.3">
      <c r="A141" s="86" t="s">
        <v>121</v>
      </c>
      <c r="B141" s="63"/>
      <c r="C141" s="76"/>
      <c r="D141" s="253"/>
      <c r="E141" s="253"/>
      <c r="F141" s="253"/>
      <c r="G141" s="254"/>
      <c r="H141" s="253"/>
      <c r="I141" s="254"/>
    </row>
    <row r="142" spans="1:9" s="136" customFormat="1" ht="25.5" customHeight="1" x14ac:dyDescent="0.3">
      <c r="A142" s="146" t="s">
        <v>289</v>
      </c>
      <c r="B142" s="147" t="s">
        <v>9</v>
      </c>
      <c r="C142" s="261">
        <v>54004.478641169153</v>
      </c>
      <c r="D142" s="261">
        <v>56450.41</v>
      </c>
      <c r="E142" s="261">
        <v>58940.6</v>
      </c>
      <c r="F142" s="261">
        <v>60011.94</v>
      </c>
      <c r="G142" s="261">
        <v>60119.13</v>
      </c>
      <c r="H142" s="261">
        <v>59581.75</v>
      </c>
      <c r="I142" s="261">
        <v>59368.959999999999</v>
      </c>
    </row>
    <row r="143" spans="1:9" s="136" customFormat="1" x14ac:dyDescent="0.3">
      <c r="A143" s="148" t="s">
        <v>44</v>
      </c>
      <c r="B143" s="147" t="s">
        <v>9</v>
      </c>
      <c r="C143" s="261">
        <v>30892.179072276162</v>
      </c>
      <c r="D143" s="261">
        <v>37819.99</v>
      </c>
      <c r="E143" s="261">
        <v>38981.120000000003</v>
      </c>
      <c r="F143" s="261">
        <v>42429.51</v>
      </c>
      <c r="G143" s="261">
        <v>42457.88</v>
      </c>
      <c r="H143" s="261">
        <v>45567.57</v>
      </c>
      <c r="I143" s="261">
        <v>48972.49</v>
      </c>
    </row>
    <row r="144" spans="1:9" s="136" customFormat="1" ht="37.5" x14ac:dyDescent="0.2">
      <c r="A144" s="149" t="s">
        <v>273</v>
      </c>
      <c r="B144" s="147" t="s">
        <v>9</v>
      </c>
      <c r="C144" s="261">
        <v>30216.012086934414</v>
      </c>
      <c r="D144" s="261">
        <v>37819.99</v>
      </c>
      <c r="E144" s="261">
        <v>38981.120000000003</v>
      </c>
      <c r="F144" s="261">
        <v>42429.51</v>
      </c>
      <c r="G144" s="261">
        <v>42457.88</v>
      </c>
      <c r="H144" s="261">
        <v>45567.57</v>
      </c>
      <c r="I144" s="261">
        <v>48972.49</v>
      </c>
    </row>
    <row r="145" spans="1:10" s="136" customFormat="1" x14ac:dyDescent="0.3">
      <c r="A145" s="150" t="s">
        <v>179</v>
      </c>
      <c r="B145" s="147" t="s">
        <v>9</v>
      </c>
      <c r="C145" s="261"/>
      <c r="D145" s="261"/>
      <c r="E145" s="261"/>
      <c r="F145" s="261"/>
      <c r="G145" s="261"/>
      <c r="H145" s="261"/>
      <c r="I145" s="261"/>
    </row>
    <row r="146" spans="1:10" s="136" customFormat="1" x14ac:dyDescent="0.3">
      <c r="A146" s="151" t="s">
        <v>286</v>
      </c>
      <c r="B146" s="147" t="s">
        <v>9</v>
      </c>
      <c r="C146" s="261">
        <v>29952.76</v>
      </c>
      <c r="D146" s="261">
        <v>35706.839999999997</v>
      </c>
      <c r="E146" s="261">
        <v>36016.080000000002</v>
      </c>
      <c r="F146" s="261">
        <v>36384.230000000003</v>
      </c>
      <c r="G146" s="261">
        <v>36384.230000000003</v>
      </c>
      <c r="H146" s="261">
        <v>36384.230000000003</v>
      </c>
      <c r="I146" s="261">
        <v>36384.230000000003</v>
      </c>
    </row>
    <row r="147" spans="1:10" ht="60" customHeight="1" x14ac:dyDescent="0.2">
      <c r="A147" s="104" t="s">
        <v>69</v>
      </c>
      <c r="B147" s="63" t="s">
        <v>9</v>
      </c>
      <c r="C147" s="257">
        <v>15030.599999999999</v>
      </c>
      <c r="D147" s="257">
        <f>C147*102.9%</f>
        <v>15466.4874</v>
      </c>
      <c r="E147" s="262">
        <v>15279</v>
      </c>
      <c r="F147" s="258">
        <f>E147</f>
        <v>15279</v>
      </c>
      <c r="G147" s="258">
        <f>E147*100.8%</f>
        <v>15401.232</v>
      </c>
      <c r="H147" s="258">
        <f>F147*100.3%</f>
        <v>15324.836999999998</v>
      </c>
      <c r="I147" s="258">
        <f>H147*101.1%</f>
        <v>15493.410206999995</v>
      </c>
      <c r="J147" t="s">
        <v>414</v>
      </c>
    </row>
    <row r="148" spans="1:10" ht="42.75" customHeight="1" x14ac:dyDescent="0.25">
      <c r="A148" s="106" t="s">
        <v>73</v>
      </c>
      <c r="B148" s="63" t="s">
        <v>6</v>
      </c>
      <c r="C148" s="257">
        <v>4809.9399999999996</v>
      </c>
      <c r="D148" s="262">
        <f>D159/41.25%/13%</f>
        <v>5176.8764568764573</v>
      </c>
      <c r="E148" s="324">
        <f>E159/41.25%/13%</f>
        <v>5096.8764568764573</v>
      </c>
      <c r="F148" s="324">
        <f>F159/41.25%/13%</f>
        <v>4918.4857808857805</v>
      </c>
      <c r="G148" s="324">
        <f t="shared" ref="G148:I148" si="33">G159/41.25%/13%</f>
        <v>5025.2680652680656</v>
      </c>
      <c r="H148" s="324">
        <f>H159/41.25%/13%</f>
        <v>4933.2412382284383</v>
      </c>
      <c r="I148" s="324">
        <f t="shared" si="33"/>
        <v>4987.5068918489505</v>
      </c>
      <c r="J148" s="322"/>
    </row>
    <row r="149" spans="1:10" x14ac:dyDescent="0.2">
      <c r="A149" s="107" t="s">
        <v>23</v>
      </c>
      <c r="B149" s="63"/>
      <c r="C149" s="76"/>
      <c r="D149" s="76"/>
      <c r="E149" s="76"/>
      <c r="F149" s="263"/>
      <c r="G149" s="263"/>
      <c r="H149" s="263"/>
      <c r="I149" s="263"/>
    </row>
    <row r="150" spans="1:10" ht="37.5" x14ac:dyDescent="0.2">
      <c r="A150" s="107" t="s">
        <v>74</v>
      </c>
      <c r="B150" s="63" t="s">
        <v>6</v>
      </c>
      <c r="C150" s="251">
        <v>271.45263599999998</v>
      </c>
      <c r="D150" s="251">
        <f>D147*12*D106/1000</f>
        <v>279.32476244399999</v>
      </c>
      <c r="E150" s="251">
        <f t="shared" ref="E150:I150" si="34">E147*12*E106/1000</f>
        <v>275.93874</v>
      </c>
      <c r="F150" s="251">
        <f t="shared" si="34"/>
        <v>275.93874</v>
      </c>
      <c r="G150" s="251">
        <f t="shared" si="34"/>
        <v>278.14624991999995</v>
      </c>
      <c r="H150" s="251">
        <f t="shared" si="34"/>
        <v>276.76655621999993</v>
      </c>
      <c r="I150" s="251">
        <f t="shared" si="34"/>
        <v>279.81098833841992</v>
      </c>
    </row>
    <row r="151" spans="1:10" ht="37.5" x14ac:dyDescent="0.2">
      <c r="A151" s="107" t="s">
        <v>79</v>
      </c>
      <c r="B151" s="63" t="s">
        <v>6</v>
      </c>
      <c r="C151" s="251">
        <f>C108*C124*12/1000</f>
        <v>4.8418272000000009</v>
      </c>
      <c r="D151" s="251">
        <f t="shared" ref="D151:I151" si="35">D108*D124*12/1000</f>
        <v>4.9688184</v>
      </c>
      <c r="E151" s="251">
        <f t="shared" si="35"/>
        <v>4.7849721191999999</v>
      </c>
      <c r="F151" s="251">
        <f t="shared" si="35"/>
        <v>4.617498095028</v>
      </c>
      <c r="G151" s="251">
        <f t="shared" si="35"/>
        <v>4.8232518961536002</v>
      </c>
      <c r="H151" s="251">
        <f t="shared" si="35"/>
        <v>4.8377216518420605</v>
      </c>
      <c r="I151" s="251">
        <f t="shared" si="35"/>
        <v>4.8909365900123234</v>
      </c>
    </row>
    <row r="152" spans="1:10" ht="37.5" x14ac:dyDescent="0.2">
      <c r="A152" s="107" t="s">
        <v>96</v>
      </c>
      <c r="B152" s="63" t="s">
        <v>6</v>
      </c>
      <c r="C152" s="264">
        <v>847.9698992399999</v>
      </c>
      <c r="D152" s="264">
        <v>945.65</v>
      </c>
      <c r="E152" s="264">
        <v>1005.88</v>
      </c>
      <c r="F152" s="264">
        <v>1018.43</v>
      </c>
      <c r="G152" s="264">
        <v>1022.58</v>
      </c>
      <c r="H152" s="264">
        <v>1025.0899999999999</v>
      </c>
      <c r="I152" s="264">
        <v>1036.43</v>
      </c>
    </row>
    <row r="153" spans="1:10" ht="19.5" x14ac:dyDescent="0.2">
      <c r="A153" s="106" t="s">
        <v>24</v>
      </c>
      <c r="B153" s="63" t="s">
        <v>6</v>
      </c>
      <c r="C153" s="257">
        <v>72.707999999999998</v>
      </c>
      <c r="D153" s="262">
        <f>C153*102.9%</f>
        <v>74.816532000000009</v>
      </c>
      <c r="E153" s="262">
        <f>D153*96.3%</f>
        <v>72.048320316000002</v>
      </c>
      <c r="F153" s="262">
        <f>E153*96.5%</f>
        <v>69.52662910494</v>
      </c>
      <c r="G153" s="262">
        <f>E153*100.8%</f>
        <v>72.624706878528002</v>
      </c>
      <c r="H153" s="262">
        <f>F153*100.3%</f>
        <v>69.735208992254812</v>
      </c>
      <c r="I153" s="262">
        <f>H153*101.1%</f>
        <v>70.502296291169614</v>
      </c>
    </row>
    <row r="154" spans="1:10" ht="19.5" x14ac:dyDescent="0.2">
      <c r="A154" s="106" t="s">
        <v>2</v>
      </c>
      <c r="B154" s="63" t="s">
        <v>6</v>
      </c>
      <c r="C154" s="76"/>
      <c r="D154" s="253"/>
      <c r="E154" s="253"/>
      <c r="F154" s="253"/>
      <c r="G154" s="254"/>
      <c r="H154" s="253"/>
      <c r="I154" s="254"/>
    </row>
    <row r="155" spans="1:10" ht="39" x14ac:dyDescent="0.2">
      <c r="A155" s="128" t="s">
        <v>107</v>
      </c>
      <c r="B155" s="66" t="s">
        <v>6</v>
      </c>
      <c r="C155" s="265">
        <f>C148+C153</f>
        <v>4882.6479999999992</v>
      </c>
      <c r="D155" s="265">
        <f t="shared" ref="D155:I155" si="36">D148+D153</f>
        <v>5251.6929888764571</v>
      </c>
      <c r="E155" s="265">
        <f t="shared" si="36"/>
        <v>5168.9247771924574</v>
      </c>
      <c r="F155" s="265">
        <f t="shared" si="36"/>
        <v>4988.0124099907207</v>
      </c>
      <c r="G155" s="265">
        <f t="shared" si="36"/>
        <v>5097.8927721465934</v>
      </c>
      <c r="H155" s="265">
        <f t="shared" si="36"/>
        <v>5002.9764472206934</v>
      </c>
      <c r="I155" s="265">
        <f t="shared" si="36"/>
        <v>5058.0091881401204</v>
      </c>
    </row>
    <row r="156" spans="1:10" x14ac:dyDescent="0.2">
      <c r="A156" s="335" t="s">
        <v>117</v>
      </c>
      <c r="B156" s="336"/>
      <c r="C156" s="336"/>
      <c r="D156" s="336"/>
      <c r="E156" s="336"/>
      <c r="F156" s="336"/>
      <c r="G156" s="336"/>
      <c r="H156" s="336"/>
      <c r="I156" s="336"/>
    </row>
    <row r="157" spans="1:10" s="136" customFormat="1" ht="39" x14ac:dyDescent="0.2">
      <c r="A157" s="141" t="s">
        <v>114</v>
      </c>
      <c r="B157" s="135" t="s">
        <v>6</v>
      </c>
      <c r="C157" s="237">
        <v>317.18</v>
      </c>
      <c r="D157" s="237">
        <v>344.66</v>
      </c>
      <c r="E157" s="237">
        <v>345.75</v>
      </c>
      <c r="F157" s="237">
        <v>335.59</v>
      </c>
      <c r="G157" s="237">
        <v>347.59</v>
      </c>
      <c r="H157" s="237">
        <v>338.71</v>
      </c>
      <c r="I157" s="237">
        <v>343.86</v>
      </c>
    </row>
    <row r="158" spans="1:10" s="136" customFormat="1" x14ac:dyDescent="0.2">
      <c r="A158" s="142" t="s">
        <v>23</v>
      </c>
      <c r="B158" s="135" t="s">
        <v>6</v>
      </c>
      <c r="C158" s="294"/>
      <c r="D158" s="295"/>
      <c r="E158" s="295"/>
      <c r="F158" s="295"/>
      <c r="G158" s="295"/>
      <c r="H158" s="295"/>
      <c r="I158" s="295"/>
    </row>
    <row r="159" spans="1:10" s="136" customFormat="1" x14ac:dyDescent="0.25">
      <c r="A159" s="143" t="s">
        <v>112</v>
      </c>
      <c r="B159" s="135" t="s">
        <v>6</v>
      </c>
      <c r="C159" s="238">
        <v>257.93169</v>
      </c>
      <c r="D159" s="238">
        <v>277.61</v>
      </c>
      <c r="E159" s="325">
        <v>273.32</v>
      </c>
      <c r="F159" s="325">
        <f>E159*96.5%</f>
        <v>263.75380000000001</v>
      </c>
      <c r="G159" s="325">
        <v>269.48</v>
      </c>
      <c r="H159" s="325">
        <f>F159*100.3%</f>
        <v>264.54506140000001</v>
      </c>
      <c r="I159" s="325">
        <f>H159*101.1%</f>
        <v>267.45505707539996</v>
      </c>
      <c r="J159" s="323"/>
    </row>
    <row r="160" spans="1:10" s="136" customFormat="1" x14ac:dyDescent="0.2">
      <c r="A160" s="143" t="s">
        <v>113</v>
      </c>
      <c r="B160" s="135" t="s">
        <v>6</v>
      </c>
      <c r="C160" s="239">
        <v>32.549399999999999</v>
      </c>
      <c r="D160" s="239">
        <v>27.18</v>
      </c>
      <c r="E160" s="239">
        <v>28.98</v>
      </c>
      <c r="F160" s="239">
        <v>25.5</v>
      </c>
      <c r="G160" s="239">
        <v>25.66</v>
      </c>
      <c r="H160" s="239">
        <v>25.91</v>
      </c>
      <c r="I160" s="239">
        <v>26.06</v>
      </c>
    </row>
    <row r="161" spans="1:9" s="136" customFormat="1" x14ac:dyDescent="0.2">
      <c r="A161" s="144" t="s">
        <v>108</v>
      </c>
      <c r="B161" s="135" t="s">
        <v>6</v>
      </c>
      <c r="C161" s="239">
        <v>25.665399999999998</v>
      </c>
      <c r="D161" s="239">
        <v>21.92</v>
      </c>
      <c r="E161" s="239">
        <v>20.49</v>
      </c>
      <c r="F161" s="239">
        <v>19.53</v>
      </c>
      <c r="G161" s="239">
        <v>19.579999999999998</v>
      </c>
      <c r="H161" s="239">
        <v>19.73</v>
      </c>
      <c r="I161" s="239">
        <v>19.87</v>
      </c>
    </row>
    <row r="162" spans="1:9" s="136" customFormat="1" ht="31.5" x14ac:dyDescent="0.2">
      <c r="A162" s="145" t="s">
        <v>123</v>
      </c>
      <c r="B162" s="135" t="s">
        <v>6</v>
      </c>
      <c r="C162" s="239">
        <v>3129.99</v>
      </c>
      <c r="D162" s="239">
        <v>3129.99</v>
      </c>
      <c r="E162" s="239">
        <f>D162</f>
        <v>3129.99</v>
      </c>
      <c r="F162" s="239">
        <f t="shared" ref="F162:I162" si="37">E162</f>
        <v>3129.99</v>
      </c>
      <c r="G162" s="239">
        <f t="shared" si="37"/>
        <v>3129.99</v>
      </c>
      <c r="H162" s="239">
        <f t="shared" si="37"/>
        <v>3129.99</v>
      </c>
      <c r="I162" s="239">
        <f t="shared" si="37"/>
        <v>3129.99</v>
      </c>
    </row>
    <row r="163" spans="1:9" s="136" customFormat="1" x14ac:dyDescent="0.2">
      <c r="A163" s="145" t="s">
        <v>120</v>
      </c>
      <c r="B163" s="135" t="s">
        <v>6</v>
      </c>
      <c r="C163" s="239">
        <v>25.18</v>
      </c>
      <c r="D163" s="239">
        <f>C163</f>
        <v>25.18</v>
      </c>
      <c r="E163" s="239">
        <f t="shared" ref="E163:I163" si="38">D163</f>
        <v>25.18</v>
      </c>
      <c r="F163" s="239">
        <f t="shared" si="38"/>
        <v>25.18</v>
      </c>
      <c r="G163" s="239">
        <f t="shared" si="38"/>
        <v>25.18</v>
      </c>
      <c r="H163" s="239">
        <f t="shared" si="38"/>
        <v>25.18</v>
      </c>
      <c r="I163" s="239">
        <f t="shared" si="38"/>
        <v>25.18</v>
      </c>
    </row>
    <row r="164" spans="1:9" s="136" customFormat="1" x14ac:dyDescent="0.2">
      <c r="A164" s="144" t="s">
        <v>109</v>
      </c>
      <c r="B164" s="135" t="s">
        <v>6</v>
      </c>
      <c r="C164" s="239">
        <v>6.8839999999999995</v>
      </c>
      <c r="D164" s="239">
        <v>5.26</v>
      </c>
      <c r="E164" s="239">
        <v>8.48</v>
      </c>
      <c r="F164" s="239">
        <v>5.97</v>
      </c>
      <c r="G164" s="239">
        <v>6.08</v>
      </c>
      <c r="H164" s="239">
        <v>6.18</v>
      </c>
      <c r="I164" s="239">
        <v>6.19</v>
      </c>
    </row>
    <row r="165" spans="1:9" s="136" customFormat="1" ht="36.6" customHeight="1" x14ac:dyDescent="0.2">
      <c r="A165" s="145" t="s">
        <v>124</v>
      </c>
      <c r="B165" s="135" t="s">
        <v>6</v>
      </c>
      <c r="C165" s="239">
        <v>4314.99</v>
      </c>
      <c r="D165" s="239">
        <f>C165</f>
        <v>4314.99</v>
      </c>
      <c r="E165" s="239">
        <f t="shared" ref="E165:I165" si="39">D165</f>
        <v>4314.99</v>
      </c>
      <c r="F165" s="239">
        <f t="shared" si="39"/>
        <v>4314.99</v>
      </c>
      <c r="G165" s="239">
        <f t="shared" si="39"/>
        <v>4314.99</v>
      </c>
      <c r="H165" s="239">
        <f t="shared" si="39"/>
        <v>4314.99</v>
      </c>
      <c r="I165" s="239">
        <f t="shared" si="39"/>
        <v>4314.99</v>
      </c>
    </row>
    <row r="166" spans="1:9" s="136" customFormat="1" x14ac:dyDescent="0.2">
      <c r="A166" s="143" t="s">
        <v>118</v>
      </c>
      <c r="B166" s="135"/>
      <c r="C166" s="239">
        <v>26.69</v>
      </c>
      <c r="D166" s="239">
        <v>39.869999999999997</v>
      </c>
      <c r="E166" s="239">
        <v>49.44</v>
      </c>
      <c r="F166" s="239">
        <v>52.11</v>
      </c>
      <c r="G166" s="239">
        <v>52.46</v>
      </c>
      <c r="H166" s="239">
        <v>54.04</v>
      </c>
      <c r="I166" s="239">
        <v>56.2</v>
      </c>
    </row>
    <row r="167" spans="1:9" s="136" customFormat="1" ht="31.5" x14ac:dyDescent="0.2">
      <c r="A167" s="134" t="s">
        <v>287</v>
      </c>
      <c r="B167" s="135" t="s">
        <v>6</v>
      </c>
      <c r="C167" s="240">
        <v>26.39</v>
      </c>
      <c r="D167" s="240">
        <v>28.72</v>
      </c>
      <c r="E167" s="240">
        <v>38.619999999999997</v>
      </c>
      <c r="F167" s="240">
        <v>40.71</v>
      </c>
      <c r="G167" s="240">
        <v>40.98</v>
      </c>
      <c r="H167" s="240">
        <v>42.21</v>
      </c>
      <c r="I167" s="240">
        <v>43.9</v>
      </c>
    </row>
    <row r="168" spans="1:9" s="136" customFormat="1" x14ac:dyDescent="0.2">
      <c r="A168" s="134" t="s">
        <v>110</v>
      </c>
      <c r="B168" s="135" t="s">
        <v>6</v>
      </c>
      <c r="C168" s="240">
        <v>18.8</v>
      </c>
      <c r="D168" s="240">
        <v>4.2</v>
      </c>
      <c r="E168" s="240">
        <v>0</v>
      </c>
      <c r="F168" s="240">
        <v>0</v>
      </c>
      <c r="G168" s="240">
        <v>0</v>
      </c>
      <c r="H168" s="240">
        <v>0</v>
      </c>
      <c r="I168" s="240">
        <v>0</v>
      </c>
    </row>
    <row r="169" spans="1:9" s="139" customFormat="1" ht="23.45" customHeight="1" x14ac:dyDescent="0.2">
      <c r="A169" s="137" t="s">
        <v>288</v>
      </c>
      <c r="B169" s="138" t="s">
        <v>6</v>
      </c>
      <c r="C169" s="240">
        <v>5.0000000000000001E-3</v>
      </c>
      <c r="D169" s="240">
        <v>0.19800000000000001</v>
      </c>
      <c r="E169" s="240">
        <v>4.2000000000000003E-2</v>
      </c>
      <c r="F169" s="240">
        <v>4.3999999999999997E-2</v>
      </c>
      <c r="G169" s="240">
        <v>4.3999999999999997E-2</v>
      </c>
      <c r="H169" s="240">
        <v>4.5999999999999999E-2</v>
      </c>
      <c r="I169" s="240">
        <v>4.7E-2</v>
      </c>
    </row>
    <row r="170" spans="1:9" ht="31.5" x14ac:dyDescent="0.2">
      <c r="A170" s="140" t="s">
        <v>111</v>
      </c>
      <c r="B170" s="138" t="s">
        <v>6</v>
      </c>
      <c r="C170" s="241">
        <v>0.31</v>
      </c>
      <c r="D170" s="241">
        <v>11.16</v>
      </c>
      <c r="E170" s="241">
        <v>10.82</v>
      </c>
      <c r="F170" s="241">
        <v>11.41</v>
      </c>
      <c r="G170" s="241">
        <v>11.48</v>
      </c>
      <c r="H170" s="241">
        <v>11.83</v>
      </c>
      <c r="I170" s="241">
        <v>12.3</v>
      </c>
    </row>
  </sheetData>
  <mergeCells count="15">
    <mergeCell ref="A1:I2"/>
    <mergeCell ref="A8:I8"/>
    <mergeCell ref="A156:I156"/>
    <mergeCell ref="A79:I79"/>
    <mergeCell ref="A26:I26"/>
    <mergeCell ref="E5:E7"/>
    <mergeCell ref="C5:C7"/>
    <mergeCell ref="D5:D7"/>
    <mergeCell ref="A3:I3"/>
    <mergeCell ref="H6:H7"/>
    <mergeCell ref="I6:I7"/>
    <mergeCell ref="A5:A7"/>
    <mergeCell ref="B5:B7"/>
    <mergeCell ref="F5:I5"/>
    <mergeCell ref="F6:G6"/>
  </mergeCells>
  <phoneticPr fontId="14" type="noConversion"/>
  <printOptions horizontalCentered="1"/>
  <pageMargins left="0.39370078740157483" right="0.39370078740157483" top="0.19685039370078741" bottom="0.19685039370078741" header="0" footer="0"/>
  <pageSetup paperSize="9" scale="48" fitToHeight="0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>
    <tabColor indexed="50"/>
  </sheetPr>
  <dimension ref="A1:AG337"/>
  <sheetViews>
    <sheetView view="pageBreakPreview" zoomScale="51" zoomScaleNormal="60" zoomScaleSheetLayoutView="51" workbookViewId="0">
      <pane xSplit="9" ySplit="1" topLeftCell="J2" activePane="bottomRight" state="frozen"/>
      <selection pane="topRight" activeCell="J1" sqref="J1"/>
      <selection pane="bottomLeft" activeCell="A11" sqref="A11"/>
      <selection pane="bottomRight" activeCell="A106" sqref="A106"/>
    </sheetView>
  </sheetViews>
  <sheetFormatPr defaultRowHeight="12.75" x14ac:dyDescent="0.2"/>
  <cols>
    <col min="1" max="1" width="94.28515625" customWidth="1"/>
    <col min="2" max="2" width="24.28515625" style="53" customWidth="1"/>
    <col min="3" max="3" width="13.5703125" hidden="1" customWidth="1"/>
    <col min="4" max="5" width="13.5703125" bestFit="1" customWidth="1"/>
    <col min="6" max="6" width="13.7109375" customWidth="1"/>
    <col min="7" max="7" width="13.85546875" bestFit="1" customWidth="1"/>
    <col min="8" max="8" width="15.85546875" bestFit="1" customWidth="1"/>
    <col min="9" max="9" width="17.140625" customWidth="1"/>
    <col min="10" max="10" width="24.140625" style="43" customWidth="1"/>
    <col min="11" max="11" width="17.28515625" hidden="1" customWidth="1"/>
    <col min="12" max="12" width="22" customWidth="1"/>
    <col min="13" max="13" width="26" customWidth="1"/>
    <col min="14" max="14" width="17.28515625" bestFit="1" customWidth="1"/>
    <col min="15" max="15" width="22.28515625" customWidth="1"/>
    <col min="16" max="16" width="21.5703125" customWidth="1"/>
    <col min="17" max="17" width="20.85546875" customWidth="1"/>
    <col min="18" max="18" width="16.5703125" customWidth="1"/>
    <col min="19" max="20" width="16.5703125" bestFit="1" customWidth="1"/>
    <col min="21" max="21" width="16.7109375" bestFit="1" customWidth="1"/>
    <col min="22" max="22" width="17.85546875" customWidth="1"/>
    <col min="24" max="24" width="23.7109375" customWidth="1"/>
  </cols>
  <sheetData>
    <row r="1" spans="1:33" ht="91.5" customHeight="1" x14ac:dyDescent="0.2">
      <c r="A1" s="40"/>
      <c r="B1" s="43"/>
      <c r="C1" s="40"/>
      <c r="D1" s="40"/>
      <c r="E1" s="40"/>
      <c r="F1" s="40"/>
      <c r="G1" s="40"/>
      <c r="H1" s="40"/>
      <c r="I1" s="40"/>
      <c r="J1" s="41"/>
      <c r="K1" s="41"/>
      <c r="L1" s="41"/>
      <c r="M1" s="41"/>
      <c r="N1" s="41"/>
      <c r="O1" s="350" t="s">
        <v>445</v>
      </c>
      <c r="P1" s="350"/>
      <c r="Q1" s="350"/>
      <c r="R1" s="350"/>
      <c r="S1" s="350"/>
      <c r="T1" s="350"/>
      <c r="U1" s="350"/>
      <c r="V1" s="350"/>
      <c r="W1" s="130"/>
      <c r="X1" s="130"/>
      <c r="Y1" s="130"/>
      <c r="Z1" s="130"/>
      <c r="AA1" s="130"/>
      <c r="AB1" s="130"/>
    </row>
    <row r="2" spans="1:33" ht="82.5" customHeight="1" x14ac:dyDescent="0.2">
      <c r="A2" s="351" t="s">
        <v>65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351"/>
      <c r="R2" s="351"/>
      <c r="S2" s="351"/>
      <c r="T2" s="351"/>
      <c r="U2" s="351"/>
      <c r="V2" s="131"/>
    </row>
    <row r="3" spans="1:33" ht="20.25" x14ac:dyDescent="0.2">
      <c r="A3" s="352" t="s">
        <v>25</v>
      </c>
      <c r="B3" s="352"/>
      <c r="C3" s="352"/>
      <c r="D3" s="352"/>
      <c r="E3" s="352"/>
      <c r="F3" s="352"/>
      <c r="G3" s="352"/>
      <c r="H3" s="352"/>
      <c r="I3" s="352"/>
      <c r="J3" s="352"/>
      <c r="K3" s="352"/>
      <c r="L3" s="352"/>
      <c r="M3" s="352"/>
      <c r="N3" s="352"/>
      <c r="O3" s="352"/>
      <c r="P3" s="352"/>
      <c r="Q3" s="352"/>
      <c r="R3" s="352"/>
      <c r="S3" s="352"/>
      <c r="T3" s="352"/>
      <c r="U3" s="352"/>
      <c r="V3" s="132"/>
    </row>
    <row r="5" spans="1:33" ht="97.5" customHeight="1" x14ac:dyDescent="0.25">
      <c r="A5" s="341" t="s">
        <v>56</v>
      </c>
      <c r="B5" s="353" t="s">
        <v>66</v>
      </c>
      <c r="C5" s="354"/>
      <c r="D5" s="354"/>
      <c r="E5" s="354"/>
      <c r="F5" s="354"/>
      <c r="G5" s="354"/>
      <c r="H5" s="354"/>
      <c r="I5" s="355"/>
      <c r="J5" s="356" t="s">
        <v>26</v>
      </c>
      <c r="K5" s="353" t="s">
        <v>387</v>
      </c>
      <c r="L5" s="354"/>
      <c r="M5" s="354"/>
      <c r="N5" s="354"/>
      <c r="O5" s="354"/>
      <c r="P5" s="354"/>
      <c r="Q5" s="355"/>
      <c r="R5" s="357" t="s">
        <v>140</v>
      </c>
      <c r="S5" s="358"/>
      <c r="T5" s="358"/>
      <c r="U5" s="358"/>
      <c r="V5" s="358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ht="78.75" customHeight="1" x14ac:dyDescent="0.25">
      <c r="A6" s="341"/>
      <c r="B6" s="133" t="s">
        <v>4</v>
      </c>
      <c r="C6" s="133" t="s">
        <v>388</v>
      </c>
      <c r="D6" s="133" t="s">
        <v>167</v>
      </c>
      <c r="E6" s="133" t="s">
        <v>279</v>
      </c>
      <c r="F6" s="133" t="s">
        <v>278</v>
      </c>
      <c r="G6" s="133" t="s">
        <v>281</v>
      </c>
      <c r="H6" s="133" t="s">
        <v>285</v>
      </c>
      <c r="I6" s="133" t="s">
        <v>413</v>
      </c>
      <c r="J6" s="356"/>
      <c r="K6" s="133" t="s">
        <v>388</v>
      </c>
      <c r="L6" s="234" t="s">
        <v>167</v>
      </c>
      <c r="M6" s="234" t="s">
        <v>279</v>
      </c>
      <c r="N6" s="234" t="s">
        <v>278</v>
      </c>
      <c r="O6" s="234" t="s">
        <v>281</v>
      </c>
      <c r="P6" s="234" t="s">
        <v>285</v>
      </c>
      <c r="Q6" s="234" t="s">
        <v>413</v>
      </c>
      <c r="R6" s="234" t="s">
        <v>279</v>
      </c>
      <c r="S6" s="234" t="s">
        <v>278</v>
      </c>
      <c r="T6" s="234" t="s">
        <v>281</v>
      </c>
      <c r="U6" s="234" t="s">
        <v>285</v>
      </c>
      <c r="V6" s="234" t="s">
        <v>413</v>
      </c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1:33" ht="81" x14ac:dyDescent="0.25">
      <c r="A7" s="121" t="s">
        <v>27</v>
      </c>
      <c r="B7" s="122">
        <v>1</v>
      </c>
      <c r="C7" s="122">
        <v>2</v>
      </c>
      <c r="D7" s="122">
        <v>2</v>
      </c>
      <c r="E7" s="122">
        <v>3</v>
      </c>
      <c r="F7" s="122">
        <v>4</v>
      </c>
      <c r="G7" s="122">
        <v>5</v>
      </c>
      <c r="H7" s="122">
        <v>6</v>
      </c>
      <c r="I7" s="122">
        <v>7</v>
      </c>
      <c r="J7" s="122">
        <v>8</v>
      </c>
      <c r="K7" s="122">
        <v>9</v>
      </c>
      <c r="L7" s="122">
        <v>9</v>
      </c>
      <c r="M7" s="122">
        <v>10</v>
      </c>
      <c r="N7" s="122">
        <v>11</v>
      </c>
      <c r="O7" s="122">
        <v>12</v>
      </c>
      <c r="P7" s="122">
        <v>13</v>
      </c>
      <c r="Q7" s="156">
        <v>14</v>
      </c>
      <c r="R7" s="123" t="s">
        <v>389</v>
      </c>
      <c r="S7" s="123" t="s">
        <v>390</v>
      </c>
      <c r="T7" s="123" t="s">
        <v>391</v>
      </c>
      <c r="U7" s="123" t="s">
        <v>392</v>
      </c>
      <c r="V7" s="123" t="s">
        <v>393</v>
      </c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 ht="27" x14ac:dyDescent="0.35">
      <c r="A8" s="342" t="s">
        <v>28</v>
      </c>
      <c r="B8" s="343"/>
      <c r="C8" s="343"/>
      <c r="D8" s="343"/>
      <c r="E8" s="343"/>
      <c r="F8" s="343"/>
      <c r="G8" s="343"/>
      <c r="H8" s="343"/>
      <c r="I8" s="343"/>
      <c r="J8" s="343"/>
      <c r="K8" s="343"/>
      <c r="L8" s="343"/>
      <c r="M8" s="343"/>
      <c r="N8" s="343"/>
      <c r="O8" s="343"/>
      <c r="P8" s="343"/>
      <c r="Q8" s="343"/>
      <c r="R8" s="343"/>
      <c r="S8" s="343"/>
      <c r="T8" s="343"/>
      <c r="U8" s="343"/>
      <c r="V8" s="343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ht="27" x14ac:dyDescent="0.2">
      <c r="A9" s="344" t="s">
        <v>264</v>
      </c>
      <c r="B9" s="345"/>
      <c r="C9" s="345"/>
      <c r="D9" s="345"/>
      <c r="E9" s="345"/>
      <c r="F9" s="345"/>
      <c r="G9" s="345"/>
      <c r="H9" s="345"/>
      <c r="I9" s="345"/>
      <c r="J9" s="345"/>
      <c r="K9" s="345"/>
      <c r="L9" s="345"/>
      <c r="M9" s="345"/>
      <c r="N9" s="345"/>
      <c r="O9" s="345"/>
      <c r="P9" s="345"/>
      <c r="Q9" s="345"/>
      <c r="R9" s="345"/>
      <c r="S9" s="345"/>
      <c r="T9" s="345"/>
      <c r="U9" s="345"/>
      <c r="V9" s="345"/>
    </row>
    <row r="10" spans="1:33" ht="26.25" x14ac:dyDescent="0.4">
      <c r="A10" s="120" t="s">
        <v>168</v>
      </c>
      <c r="B10" s="28"/>
      <c r="C10" s="11"/>
      <c r="D10" s="11"/>
      <c r="E10" s="11"/>
      <c r="F10" s="11"/>
      <c r="G10" s="236">
        <v>0.97299999999999998</v>
      </c>
      <c r="H10" s="236">
        <v>1.0169999999999999</v>
      </c>
      <c r="I10" s="236">
        <v>1.0149999999999999</v>
      </c>
      <c r="J10" s="28"/>
      <c r="K10" s="12"/>
      <c r="L10" s="12"/>
      <c r="M10" s="12"/>
      <c r="N10" s="12"/>
      <c r="O10" s="12"/>
      <c r="P10" s="12"/>
      <c r="Q10" s="12"/>
      <c r="R10" s="28"/>
      <c r="S10" s="28"/>
      <c r="T10" s="28"/>
      <c r="U10" s="28"/>
      <c r="V10" s="28"/>
    </row>
    <row r="11" spans="1:33" ht="52.5" x14ac:dyDescent="0.4">
      <c r="A11" s="10" t="s">
        <v>394</v>
      </c>
      <c r="B11" s="46" t="s">
        <v>34</v>
      </c>
      <c r="C11" s="157">
        <v>656.78</v>
      </c>
      <c r="D11" s="283">
        <v>665.3</v>
      </c>
      <c r="E11" s="283">
        <v>797.27200000000005</v>
      </c>
      <c r="F11" s="283">
        <v>741.36599999999999</v>
      </c>
      <c r="G11" s="157">
        <f>F11*97.3%</f>
        <v>721.34911799999998</v>
      </c>
      <c r="H11" s="157">
        <f>G11*101.7%</f>
        <v>733.61205300600011</v>
      </c>
      <c r="I11" s="157">
        <f>H11*101.5%</f>
        <v>744.61623380109006</v>
      </c>
      <c r="J11" s="158">
        <v>2280</v>
      </c>
      <c r="K11" s="159">
        <f>C11*J11</f>
        <v>1497458.4</v>
      </c>
      <c r="L11" s="159">
        <f t="shared" ref="L11:Q11" si="0">D11*$J$11</f>
        <v>1516884</v>
      </c>
      <c r="M11" s="159">
        <f t="shared" si="0"/>
        <v>1817780.1600000001</v>
      </c>
      <c r="N11" s="159">
        <f t="shared" si="0"/>
        <v>1690314.48</v>
      </c>
      <c r="O11" s="159">
        <f t="shared" si="0"/>
        <v>1644675.9890399999</v>
      </c>
      <c r="P11" s="159">
        <f t="shared" si="0"/>
        <v>1672635.4808536803</v>
      </c>
      <c r="Q11" s="159">
        <f t="shared" si="0"/>
        <v>1697725.0130664853</v>
      </c>
      <c r="R11" s="160">
        <f>M11/L11*100</f>
        <v>119.83646475274314</v>
      </c>
      <c r="S11" s="160">
        <f>N11/M11*100</f>
        <v>92.987838529385186</v>
      </c>
      <c r="T11" s="160">
        <f t="shared" ref="T11:V20" si="1">O11/N11*100</f>
        <v>97.3</v>
      </c>
      <c r="U11" s="160">
        <f t="shared" si="1"/>
        <v>101.70000000000003</v>
      </c>
      <c r="V11" s="160">
        <f>Q11/P11*100</f>
        <v>101.49999999999999</v>
      </c>
    </row>
    <row r="12" spans="1:33" ht="26.25" hidden="1" x14ac:dyDescent="0.4">
      <c r="A12" s="10" t="s">
        <v>169</v>
      </c>
      <c r="B12" s="46" t="s">
        <v>34</v>
      </c>
      <c r="C12" s="157"/>
      <c r="D12" s="283"/>
      <c r="E12" s="283"/>
      <c r="F12" s="283"/>
      <c r="G12" s="157">
        <f t="shared" ref="G12:G16" si="2">F12*97.3%</f>
        <v>0</v>
      </c>
      <c r="H12" s="157">
        <f t="shared" ref="H12:H16" si="3">G12*101.7%</f>
        <v>0</v>
      </c>
      <c r="I12" s="157">
        <f t="shared" ref="I12:I16" si="4">H12*101.5%</f>
        <v>0</v>
      </c>
      <c r="J12" s="158">
        <v>394.43</v>
      </c>
      <c r="K12" s="159">
        <f t="shared" ref="K12:K16" si="5">C12*J12</f>
        <v>0</v>
      </c>
      <c r="L12" s="12"/>
      <c r="M12" s="159">
        <f t="shared" ref="M12:M16" si="6">E12*J12</f>
        <v>0</v>
      </c>
      <c r="N12" s="159">
        <f t="shared" ref="N12:N16" si="7">F12*J12</f>
        <v>0</v>
      </c>
      <c r="O12" s="159">
        <f t="shared" ref="O12:O16" si="8">G12*J12</f>
        <v>0</v>
      </c>
      <c r="P12" s="12"/>
      <c r="Q12" s="161"/>
      <c r="R12" s="160" t="e">
        <f t="shared" ref="R12:S19" si="9">M12/L12*100</f>
        <v>#DIV/0!</v>
      </c>
      <c r="S12" s="160" t="e">
        <f t="shared" si="9"/>
        <v>#DIV/0!</v>
      </c>
      <c r="T12" s="160" t="e">
        <f t="shared" si="1"/>
        <v>#DIV/0!</v>
      </c>
      <c r="U12" s="160" t="e">
        <f t="shared" si="1"/>
        <v>#DIV/0!</v>
      </c>
      <c r="V12" s="160" t="e">
        <f t="shared" si="1"/>
        <v>#DIV/0!</v>
      </c>
    </row>
    <row r="13" spans="1:33" ht="26.25" hidden="1" x14ac:dyDescent="0.4">
      <c r="A13" s="10" t="s">
        <v>170</v>
      </c>
      <c r="B13" s="46" t="s">
        <v>34</v>
      </c>
      <c r="C13" s="157"/>
      <c r="D13" s="283"/>
      <c r="E13" s="283"/>
      <c r="F13" s="283"/>
      <c r="G13" s="157">
        <f t="shared" si="2"/>
        <v>0</v>
      </c>
      <c r="H13" s="157">
        <f t="shared" si="3"/>
        <v>0</v>
      </c>
      <c r="I13" s="157">
        <f t="shared" si="4"/>
        <v>0</v>
      </c>
      <c r="J13" s="158">
        <v>104.07</v>
      </c>
      <c r="K13" s="159">
        <f t="shared" si="5"/>
        <v>0</v>
      </c>
      <c r="L13" s="12"/>
      <c r="M13" s="159">
        <f t="shared" si="6"/>
        <v>0</v>
      </c>
      <c r="N13" s="159">
        <f t="shared" si="7"/>
        <v>0</v>
      </c>
      <c r="O13" s="159">
        <f t="shared" si="8"/>
        <v>0</v>
      </c>
      <c r="P13" s="12"/>
      <c r="Q13" s="161"/>
      <c r="R13" s="160" t="e">
        <f t="shared" si="9"/>
        <v>#DIV/0!</v>
      </c>
      <c r="S13" s="160" t="e">
        <f t="shared" si="9"/>
        <v>#DIV/0!</v>
      </c>
      <c r="T13" s="160" t="e">
        <f t="shared" si="1"/>
        <v>#DIV/0!</v>
      </c>
      <c r="U13" s="160" t="e">
        <f t="shared" si="1"/>
        <v>#DIV/0!</v>
      </c>
      <c r="V13" s="160" t="e">
        <f t="shared" si="1"/>
        <v>#DIV/0!</v>
      </c>
    </row>
    <row r="14" spans="1:33" ht="26.25" hidden="1" x14ac:dyDescent="0.4">
      <c r="A14" s="10" t="s">
        <v>171</v>
      </c>
      <c r="B14" s="46" t="s">
        <v>29</v>
      </c>
      <c r="C14" s="157"/>
      <c r="D14" s="283"/>
      <c r="E14" s="283"/>
      <c r="F14" s="283"/>
      <c r="G14" s="157">
        <f t="shared" si="2"/>
        <v>0</v>
      </c>
      <c r="H14" s="157">
        <f t="shared" si="3"/>
        <v>0</v>
      </c>
      <c r="I14" s="157">
        <f t="shared" si="4"/>
        <v>0</v>
      </c>
      <c r="J14" s="158">
        <v>245.95</v>
      </c>
      <c r="K14" s="159">
        <f t="shared" si="5"/>
        <v>0</v>
      </c>
      <c r="L14" s="12"/>
      <c r="M14" s="159">
        <f t="shared" si="6"/>
        <v>0</v>
      </c>
      <c r="N14" s="159">
        <f t="shared" si="7"/>
        <v>0</v>
      </c>
      <c r="O14" s="159">
        <f t="shared" si="8"/>
        <v>0</v>
      </c>
      <c r="P14" s="12"/>
      <c r="Q14" s="161"/>
      <c r="R14" s="160" t="e">
        <f t="shared" si="9"/>
        <v>#DIV/0!</v>
      </c>
      <c r="S14" s="160" t="e">
        <f t="shared" si="9"/>
        <v>#DIV/0!</v>
      </c>
      <c r="T14" s="160" t="e">
        <f t="shared" si="1"/>
        <v>#DIV/0!</v>
      </c>
      <c r="U14" s="160" t="e">
        <f t="shared" si="1"/>
        <v>#DIV/0!</v>
      </c>
      <c r="V14" s="160" t="e">
        <f t="shared" si="1"/>
        <v>#DIV/0!</v>
      </c>
    </row>
    <row r="15" spans="1:33" ht="26.25" hidden="1" x14ac:dyDescent="0.4">
      <c r="A15" s="10" t="s">
        <v>172</v>
      </c>
      <c r="B15" s="46" t="s">
        <v>29</v>
      </c>
      <c r="C15" s="157"/>
      <c r="D15" s="283"/>
      <c r="E15" s="283"/>
      <c r="F15" s="283"/>
      <c r="G15" s="157">
        <f t="shared" si="2"/>
        <v>0</v>
      </c>
      <c r="H15" s="157">
        <f t="shared" si="3"/>
        <v>0</v>
      </c>
      <c r="I15" s="157">
        <f t="shared" si="4"/>
        <v>0</v>
      </c>
      <c r="J15" s="158">
        <v>77.53</v>
      </c>
      <c r="K15" s="159">
        <f t="shared" si="5"/>
        <v>0</v>
      </c>
      <c r="L15" s="12"/>
      <c r="M15" s="159">
        <f t="shared" si="6"/>
        <v>0</v>
      </c>
      <c r="N15" s="159">
        <f t="shared" si="7"/>
        <v>0</v>
      </c>
      <c r="O15" s="159">
        <f t="shared" si="8"/>
        <v>0</v>
      </c>
      <c r="P15" s="12"/>
      <c r="Q15" s="161"/>
      <c r="R15" s="160" t="e">
        <f t="shared" si="9"/>
        <v>#DIV/0!</v>
      </c>
      <c r="S15" s="160" t="e">
        <f t="shared" si="9"/>
        <v>#DIV/0!</v>
      </c>
      <c r="T15" s="160" t="e">
        <f t="shared" si="1"/>
        <v>#DIV/0!</v>
      </c>
      <c r="U15" s="160" t="e">
        <f t="shared" si="1"/>
        <v>#DIV/0!</v>
      </c>
      <c r="V15" s="160" t="e">
        <f t="shared" si="1"/>
        <v>#DIV/0!</v>
      </c>
    </row>
    <row r="16" spans="1:33" ht="26.25" hidden="1" x14ac:dyDescent="0.4">
      <c r="A16" s="10" t="s">
        <v>173</v>
      </c>
      <c r="B16" s="46" t="s">
        <v>29</v>
      </c>
      <c r="C16" s="157"/>
      <c r="D16" s="283"/>
      <c r="E16" s="283"/>
      <c r="F16" s="283"/>
      <c r="G16" s="157">
        <f t="shared" si="2"/>
        <v>0</v>
      </c>
      <c r="H16" s="157">
        <f t="shared" si="3"/>
        <v>0</v>
      </c>
      <c r="I16" s="157">
        <f t="shared" si="4"/>
        <v>0</v>
      </c>
      <c r="J16" s="158">
        <v>324.39999999999998</v>
      </c>
      <c r="K16" s="159">
        <f t="shared" si="5"/>
        <v>0</v>
      </c>
      <c r="L16" s="12"/>
      <c r="M16" s="159">
        <f t="shared" si="6"/>
        <v>0</v>
      </c>
      <c r="N16" s="159">
        <f t="shared" si="7"/>
        <v>0</v>
      </c>
      <c r="O16" s="159">
        <f t="shared" si="8"/>
        <v>0</v>
      </c>
      <c r="P16" s="12"/>
      <c r="Q16" s="161"/>
      <c r="R16" s="160" t="e">
        <f t="shared" si="9"/>
        <v>#DIV/0!</v>
      </c>
      <c r="S16" s="160" t="e">
        <f t="shared" si="9"/>
        <v>#DIV/0!</v>
      </c>
      <c r="T16" s="160" t="e">
        <f t="shared" si="1"/>
        <v>#DIV/0!</v>
      </c>
      <c r="U16" s="160" t="e">
        <f t="shared" si="1"/>
        <v>#DIV/0!</v>
      </c>
      <c r="V16" s="160" t="e">
        <f t="shared" si="1"/>
        <v>#DIV/0!</v>
      </c>
    </row>
    <row r="17" spans="1:22" ht="26.25" x14ac:dyDescent="0.4">
      <c r="A17" s="10" t="s">
        <v>174</v>
      </c>
      <c r="B17" s="46" t="s">
        <v>29</v>
      </c>
      <c r="C17" s="157">
        <f>40.54+790.8</f>
        <v>831.33999999999992</v>
      </c>
      <c r="D17" s="284">
        <v>859.74</v>
      </c>
      <c r="E17" s="284">
        <v>877.88</v>
      </c>
      <c r="F17" s="283">
        <v>866.3</v>
      </c>
      <c r="G17" s="157">
        <f>F17*97.3%</f>
        <v>842.90989999999988</v>
      </c>
      <c r="H17" s="157">
        <f>G17*101.7%</f>
        <v>857.23936830000002</v>
      </c>
      <c r="I17" s="157">
        <f>H17*101.5%</f>
        <v>870.09795882449998</v>
      </c>
      <c r="J17" s="158">
        <v>301.42</v>
      </c>
      <c r="K17" s="159">
        <f t="shared" ref="K17:Q17" si="10">C17*$J$17</f>
        <v>250582.50279999999</v>
      </c>
      <c r="L17" s="159">
        <f t="shared" si="10"/>
        <v>259142.83080000003</v>
      </c>
      <c r="M17" s="159">
        <f>E17*$J$17</f>
        <v>264610.58960000001</v>
      </c>
      <c r="N17" s="159">
        <f t="shared" si="10"/>
        <v>261120.14600000001</v>
      </c>
      <c r="O17" s="159">
        <f t="shared" si="10"/>
        <v>254069.90205799998</v>
      </c>
      <c r="P17" s="159">
        <f t="shared" si="10"/>
        <v>258389.09039298602</v>
      </c>
      <c r="Q17" s="159">
        <f t="shared" si="10"/>
        <v>262264.92674888083</v>
      </c>
      <c r="R17" s="160">
        <f>M17/L17*100</f>
        <v>102.10994021448343</v>
      </c>
      <c r="S17" s="160">
        <f t="shared" si="9"/>
        <v>98.680913108853147</v>
      </c>
      <c r="T17" s="160">
        <f t="shared" si="1"/>
        <v>97.299999999999983</v>
      </c>
      <c r="U17" s="160">
        <f t="shared" si="1"/>
        <v>101.70000000000002</v>
      </c>
      <c r="V17" s="160">
        <f t="shared" si="1"/>
        <v>101.50000000000001</v>
      </c>
    </row>
    <row r="18" spans="1:22" ht="26.25" hidden="1" x14ac:dyDescent="0.4">
      <c r="A18" s="10" t="s">
        <v>175</v>
      </c>
      <c r="B18" s="46" t="s">
        <v>29</v>
      </c>
      <c r="C18" s="11"/>
      <c r="D18" s="11"/>
      <c r="E18" s="98"/>
      <c r="F18" s="11"/>
      <c r="G18" s="11"/>
      <c r="H18" s="11"/>
      <c r="I18" s="11"/>
      <c r="J18" s="56">
        <v>222.7</v>
      </c>
      <c r="K18" s="12"/>
      <c r="L18" s="12"/>
      <c r="M18" s="12"/>
      <c r="N18" s="12"/>
      <c r="O18" s="12"/>
      <c r="P18" s="12"/>
      <c r="Q18" s="161"/>
      <c r="R18" s="160" t="e">
        <f t="shared" si="9"/>
        <v>#DIV/0!</v>
      </c>
      <c r="S18" s="160" t="e">
        <f t="shared" si="9"/>
        <v>#DIV/0!</v>
      </c>
      <c r="T18" s="160" t="e">
        <f t="shared" si="1"/>
        <v>#DIV/0!</v>
      </c>
      <c r="U18" s="160" t="e">
        <f t="shared" si="1"/>
        <v>#DIV/0!</v>
      </c>
      <c r="V18" s="160" t="e">
        <f t="shared" si="1"/>
        <v>#DIV/0!</v>
      </c>
    </row>
    <row r="19" spans="1:22" ht="26.25" hidden="1" x14ac:dyDescent="0.4">
      <c r="A19" s="10" t="s">
        <v>176</v>
      </c>
      <c r="B19" s="46" t="s">
        <v>29</v>
      </c>
      <c r="C19" s="11"/>
      <c r="D19" s="11"/>
      <c r="E19" s="11"/>
      <c r="F19" s="11"/>
      <c r="G19" s="11"/>
      <c r="H19" s="11"/>
      <c r="I19" s="11"/>
      <c r="J19" s="56">
        <v>168.3</v>
      </c>
      <c r="K19" s="12"/>
      <c r="L19" s="12"/>
      <c r="M19" s="12"/>
      <c r="N19" s="12"/>
      <c r="O19" s="12"/>
      <c r="P19" s="12"/>
      <c r="Q19" s="161"/>
      <c r="R19" s="160" t="e">
        <f t="shared" si="9"/>
        <v>#DIV/0!</v>
      </c>
      <c r="S19" s="160" t="e">
        <f t="shared" si="9"/>
        <v>#DIV/0!</v>
      </c>
      <c r="T19" s="160" t="e">
        <f t="shared" si="1"/>
        <v>#DIV/0!</v>
      </c>
      <c r="U19" s="160" t="e">
        <f t="shared" si="1"/>
        <v>#DIV/0!</v>
      </c>
      <c r="V19" s="160" t="e">
        <f t="shared" si="1"/>
        <v>#DIV/0!</v>
      </c>
    </row>
    <row r="20" spans="1:22" ht="26.25" x14ac:dyDescent="0.4">
      <c r="A20" s="31" t="s">
        <v>31</v>
      </c>
      <c r="B20" s="47" t="s">
        <v>55</v>
      </c>
      <c r="C20" s="14"/>
      <c r="D20" s="14"/>
      <c r="E20" s="180"/>
      <c r="F20" s="14"/>
      <c r="G20" s="14" t="s">
        <v>55</v>
      </c>
      <c r="H20" s="14"/>
      <c r="I20" s="14"/>
      <c r="J20" s="57" t="s">
        <v>55</v>
      </c>
      <c r="K20" s="15">
        <f>K11+K17</f>
        <v>1748040.9027999998</v>
      </c>
      <c r="L20" s="15">
        <f>L11+L17</f>
        <v>1776026.8308000001</v>
      </c>
      <c r="M20" s="15">
        <f t="shared" ref="M20:Q20" si="11">M11+M17</f>
        <v>2082390.7496000002</v>
      </c>
      <c r="N20" s="15">
        <f t="shared" si="11"/>
        <v>1951434.6259999999</v>
      </c>
      <c r="O20" s="15">
        <f t="shared" si="11"/>
        <v>1898745.8910979999</v>
      </c>
      <c r="P20" s="15">
        <f t="shared" si="11"/>
        <v>1931024.5712466664</v>
      </c>
      <c r="Q20" s="15">
        <f t="shared" si="11"/>
        <v>1959989.9398153662</v>
      </c>
      <c r="R20" s="162">
        <f>M20/L20*100</f>
        <v>117.24996005054724</v>
      </c>
      <c r="S20" s="162">
        <f>N20/M20*100</f>
        <v>93.71126078882385</v>
      </c>
      <c r="T20" s="162">
        <f t="shared" si="1"/>
        <v>97.3</v>
      </c>
      <c r="U20" s="162">
        <f t="shared" si="1"/>
        <v>101.70000000000003</v>
      </c>
      <c r="V20" s="162">
        <f t="shared" si="1"/>
        <v>101.49999999999999</v>
      </c>
    </row>
    <row r="21" spans="1:22" ht="27" x14ac:dyDescent="0.2">
      <c r="A21" s="344" t="s">
        <v>265</v>
      </c>
      <c r="B21" s="345"/>
      <c r="C21" s="345"/>
      <c r="D21" s="345"/>
      <c r="E21" s="345"/>
      <c r="F21" s="345"/>
      <c r="G21" s="345"/>
      <c r="H21" s="345"/>
      <c r="I21" s="345"/>
      <c r="J21" s="345"/>
      <c r="K21" s="345"/>
      <c r="L21" s="345"/>
      <c r="M21" s="345"/>
      <c r="N21" s="345"/>
      <c r="O21" s="345"/>
      <c r="P21" s="345"/>
      <c r="Q21" s="345"/>
      <c r="R21" s="345"/>
      <c r="S21" s="345"/>
      <c r="T21" s="345"/>
      <c r="U21" s="345"/>
      <c r="V21" s="345"/>
    </row>
    <row r="22" spans="1:22" ht="78.75" hidden="1" x14ac:dyDescent="0.4">
      <c r="A22" s="119" t="s">
        <v>180</v>
      </c>
      <c r="B22" s="44" t="s">
        <v>30</v>
      </c>
      <c r="C22" s="163"/>
      <c r="D22" s="163"/>
      <c r="E22" s="163"/>
      <c r="F22" s="163"/>
      <c r="G22" s="163"/>
      <c r="H22" s="163"/>
      <c r="I22" s="163"/>
      <c r="J22" s="54">
        <v>127.61</v>
      </c>
      <c r="K22" s="3"/>
      <c r="L22" s="3"/>
      <c r="M22" s="3"/>
      <c r="N22" s="3"/>
      <c r="O22" s="3"/>
      <c r="P22" s="3"/>
      <c r="Q22" s="3"/>
      <c r="R22" s="26"/>
      <c r="S22" s="26"/>
      <c r="T22" s="26"/>
      <c r="U22" s="26"/>
      <c r="V22" s="26"/>
    </row>
    <row r="23" spans="1:22" ht="52.5" hidden="1" x14ac:dyDescent="0.4">
      <c r="A23" s="8" t="s">
        <v>181</v>
      </c>
      <c r="B23" s="45" t="s">
        <v>30</v>
      </c>
      <c r="C23" s="164"/>
      <c r="D23" s="164"/>
      <c r="E23" s="164"/>
      <c r="F23" s="164"/>
      <c r="G23" s="164"/>
      <c r="H23" s="164"/>
      <c r="I23" s="164"/>
      <c r="J23" s="55">
        <v>156.41</v>
      </c>
      <c r="K23" s="7"/>
      <c r="L23" s="7"/>
      <c r="M23" s="7"/>
      <c r="N23" s="7"/>
      <c r="O23" s="7"/>
      <c r="P23" s="7"/>
      <c r="Q23" s="7"/>
      <c r="R23" s="27"/>
      <c r="S23" s="27"/>
      <c r="T23" s="27"/>
      <c r="U23" s="27"/>
      <c r="V23" s="27"/>
    </row>
    <row r="24" spans="1:22" ht="78.75" hidden="1" x14ac:dyDescent="0.4">
      <c r="A24" s="8" t="s">
        <v>182</v>
      </c>
      <c r="B24" s="45" t="s">
        <v>30</v>
      </c>
      <c r="C24" s="164"/>
      <c r="D24" s="164"/>
      <c r="E24" s="164"/>
      <c r="F24" s="164"/>
      <c r="G24" s="164"/>
      <c r="H24" s="164"/>
      <c r="I24" s="164"/>
      <c r="J24" s="55">
        <v>91.18</v>
      </c>
      <c r="K24" s="7"/>
      <c r="L24" s="7"/>
      <c r="M24" s="7"/>
      <c r="N24" s="7"/>
      <c r="O24" s="7"/>
      <c r="P24" s="7"/>
      <c r="Q24" s="7"/>
      <c r="R24" s="27"/>
      <c r="S24" s="27"/>
      <c r="T24" s="27"/>
      <c r="U24" s="27"/>
      <c r="V24" s="27"/>
    </row>
    <row r="25" spans="1:22" ht="157.5" hidden="1" x14ac:dyDescent="0.4">
      <c r="A25" s="8" t="s">
        <v>183</v>
      </c>
      <c r="B25" s="45" t="s">
        <v>30</v>
      </c>
      <c r="C25" s="164"/>
      <c r="D25" s="164"/>
      <c r="E25" s="164"/>
      <c r="F25" s="164"/>
      <c r="G25" s="164"/>
      <c r="H25" s="164"/>
      <c r="I25" s="164"/>
      <c r="J25" s="55">
        <v>85.36</v>
      </c>
      <c r="K25" s="7"/>
      <c r="L25" s="7"/>
      <c r="M25" s="7"/>
      <c r="N25" s="7"/>
      <c r="O25" s="7"/>
      <c r="P25" s="7"/>
      <c r="Q25" s="7"/>
      <c r="R25" s="27"/>
      <c r="S25" s="27"/>
      <c r="T25" s="27"/>
      <c r="U25" s="27"/>
      <c r="V25" s="27"/>
    </row>
    <row r="26" spans="1:22" ht="52.5" hidden="1" x14ac:dyDescent="0.4">
      <c r="A26" s="8" t="s">
        <v>184</v>
      </c>
      <c r="B26" s="45" t="s">
        <v>30</v>
      </c>
      <c r="C26" s="164"/>
      <c r="D26" s="164"/>
      <c r="E26" s="164"/>
      <c r="F26" s="164"/>
      <c r="G26" s="164"/>
      <c r="H26" s="164"/>
      <c r="I26" s="164"/>
      <c r="J26" s="55">
        <v>114.67</v>
      </c>
      <c r="K26" s="7"/>
      <c r="L26" s="7"/>
      <c r="M26" s="7"/>
      <c r="N26" s="7"/>
      <c r="O26" s="7"/>
      <c r="P26" s="7"/>
      <c r="Q26" s="7"/>
      <c r="R26" s="27"/>
      <c r="S26" s="27"/>
      <c r="T26" s="27"/>
      <c r="U26" s="27"/>
      <c r="V26" s="27"/>
    </row>
    <row r="27" spans="1:22" ht="78.75" hidden="1" x14ac:dyDescent="0.4">
      <c r="A27" s="8" t="s">
        <v>185</v>
      </c>
      <c r="B27" s="45" t="s">
        <v>30</v>
      </c>
      <c r="C27" s="164"/>
      <c r="D27" s="164"/>
      <c r="E27" s="164"/>
      <c r="F27" s="164"/>
      <c r="G27" s="164"/>
      <c r="H27" s="164"/>
      <c r="I27" s="164"/>
      <c r="J27" s="55">
        <v>91.18</v>
      </c>
      <c r="K27" s="7"/>
      <c r="L27" s="7"/>
      <c r="M27" s="7"/>
      <c r="N27" s="7"/>
      <c r="O27" s="7"/>
      <c r="P27" s="7"/>
      <c r="Q27" s="7"/>
      <c r="R27" s="27"/>
      <c r="S27" s="27"/>
      <c r="T27" s="27"/>
      <c r="U27" s="27"/>
      <c r="V27" s="27"/>
    </row>
    <row r="28" spans="1:22" ht="52.5" hidden="1" x14ac:dyDescent="0.4">
      <c r="A28" s="8" t="s">
        <v>186</v>
      </c>
      <c r="B28" s="45" t="s">
        <v>30</v>
      </c>
      <c r="C28" s="164"/>
      <c r="D28" s="164"/>
      <c r="E28" s="164"/>
      <c r="F28" s="164"/>
      <c r="G28" s="164"/>
      <c r="H28" s="164"/>
      <c r="I28" s="164"/>
      <c r="J28" s="55">
        <v>126.54</v>
      </c>
      <c r="K28" s="7"/>
      <c r="L28" s="7"/>
      <c r="M28" s="7"/>
      <c r="N28" s="7"/>
      <c r="O28" s="7"/>
      <c r="P28" s="7"/>
      <c r="Q28" s="7"/>
      <c r="R28" s="27"/>
      <c r="S28" s="27"/>
      <c r="T28" s="27"/>
      <c r="U28" s="27"/>
      <c r="V28" s="27"/>
    </row>
    <row r="29" spans="1:22" ht="26.25" hidden="1" x14ac:dyDescent="0.4">
      <c r="A29" s="8" t="s">
        <v>187</v>
      </c>
      <c r="B29" s="45" t="s">
        <v>30</v>
      </c>
      <c r="C29" s="164"/>
      <c r="D29" s="164"/>
      <c r="E29" s="164"/>
      <c r="F29" s="164"/>
      <c r="G29" s="164"/>
      <c r="H29" s="164"/>
      <c r="I29" s="164"/>
      <c r="J29" s="55">
        <v>23.56</v>
      </c>
      <c r="K29" s="7"/>
      <c r="L29" s="7"/>
      <c r="M29" s="7"/>
      <c r="N29" s="7"/>
      <c r="O29" s="7"/>
      <c r="P29" s="7"/>
      <c r="Q29" s="7"/>
      <c r="R29" s="27"/>
      <c r="S29" s="27"/>
      <c r="T29" s="27"/>
      <c r="U29" s="27"/>
      <c r="V29" s="27"/>
    </row>
    <row r="30" spans="1:22" ht="52.5" hidden="1" x14ac:dyDescent="0.4">
      <c r="A30" s="8" t="s">
        <v>188</v>
      </c>
      <c r="B30" s="45" t="s">
        <v>30</v>
      </c>
      <c r="C30" s="164"/>
      <c r="D30" s="164"/>
      <c r="E30" s="164"/>
      <c r="F30" s="164"/>
      <c r="G30" s="164"/>
      <c r="H30" s="164"/>
      <c r="I30" s="164"/>
      <c r="J30" s="55">
        <v>75.790000000000006</v>
      </c>
      <c r="K30" s="7"/>
      <c r="L30" s="7"/>
      <c r="M30" s="7"/>
      <c r="N30" s="7"/>
      <c r="O30" s="7"/>
      <c r="P30" s="7"/>
      <c r="Q30" s="7"/>
      <c r="R30" s="27"/>
      <c r="S30" s="27"/>
      <c r="T30" s="27"/>
      <c r="U30" s="27"/>
      <c r="V30" s="27"/>
    </row>
    <row r="31" spans="1:22" ht="52.5" hidden="1" x14ac:dyDescent="0.4">
      <c r="A31" s="8" t="s">
        <v>189</v>
      </c>
      <c r="B31" s="45" t="s">
        <v>30</v>
      </c>
      <c r="C31" s="164"/>
      <c r="D31" s="164"/>
      <c r="E31" s="164"/>
      <c r="F31" s="164"/>
      <c r="G31" s="164"/>
      <c r="H31" s="164"/>
      <c r="I31" s="164"/>
      <c r="J31" s="55">
        <v>74.56</v>
      </c>
      <c r="K31" s="7"/>
      <c r="L31" s="7"/>
      <c r="M31" s="7"/>
      <c r="N31" s="7"/>
      <c r="O31" s="7"/>
      <c r="P31" s="7"/>
      <c r="Q31" s="7"/>
      <c r="R31" s="27"/>
      <c r="S31" s="27"/>
      <c r="T31" s="27"/>
      <c r="U31" s="27"/>
      <c r="V31" s="27"/>
    </row>
    <row r="32" spans="1:22" ht="22.5" hidden="1" customHeight="1" x14ac:dyDescent="0.4">
      <c r="A32" s="8" t="s">
        <v>190</v>
      </c>
      <c r="B32" s="6" t="s">
        <v>30</v>
      </c>
      <c r="C32" s="164"/>
      <c r="D32" s="164"/>
      <c r="E32" s="164"/>
      <c r="F32" s="164"/>
      <c r="G32" s="164"/>
      <c r="H32" s="164"/>
      <c r="I32" s="164"/>
      <c r="J32" s="55">
        <v>46.58</v>
      </c>
      <c r="K32" s="7"/>
      <c r="L32" s="7"/>
      <c r="M32" s="7"/>
      <c r="N32" s="7"/>
      <c r="O32" s="7"/>
      <c r="P32" s="7"/>
      <c r="Q32" s="7"/>
      <c r="R32" s="27"/>
      <c r="S32" s="27"/>
      <c r="T32" s="27"/>
      <c r="U32" s="27"/>
      <c r="V32" s="27"/>
    </row>
    <row r="33" spans="1:22" ht="52.5" hidden="1" x14ac:dyDescent="0.4">
      <c r="A33" s="8" t="s">
        <v>191</v>
      </c>
      <c r="B33" s="9" t="s">
        <v>30</v>
      </c>
      <c r="C33" s="164"/>
      <c r="D33" s="164"/>
      <c r="E33" s="164"/>
      <c r="F33" s="164"/>
      <c r="G33" s="164"/>
      <c r="H33" s="164"/>
      <c r="I33" s="164"/>
      <c r="J33" s="55">
        <v>196.3</v>
      </c>
      <c r="K33" s="7"/>
      <c r="L33" s="7"/>
      <c r="M33" s="7"/>
      <c r="N33" s="7"/>
      <c r="O33" s="7"/>
      <c r="P33" s="7"/>
      <c r="Q33" s="7"/>
      <c r="R33" s="27"/>
      <c r="S33" s="27"/>
      <c r="T33" s="27"/>
      <c r="U33" s="27"/>
      <c r="V33" s="27"/>
    </row>
    <row r="34" spans="1:22" ht="25.5" hidden="1" customHeight="1" x14ac:dyDescent="0.4">
      <c r="A34" s="8" t="s">
        <v>192</v>
      </c>
      <c r="B34" s="9" t="s">
        <v>30</v>
      </c>
      <c r="C34" s="164"/>
      <c r="D34" s="164"/>
      <c r="E34" s="164"/>
      <c r="F34" s="164"/>
      <c r="G34" s="164"/>
      <c r="H34" s="164"/>
      <c r="I34" s="164"/>
      <c r="J34" s="55">
        <v>268</v>
      </c>
      <c r="K34" s="7"/>
      <c r="L34" s="7"/>
      <c r="M34" s="7"/>
      <c r="N34" s="7"/>
      <c r="O34" s="7"/>
      <c r="P34" s="7"/>
      <c r="Q34" s="7"/>
      <c r="R34" s="27"/>
      <c r="S34" s="27"/>
      <c r="T34" s="27"/>
      <c r="U34" s="27"/>
      <c r="V34" s="27"/>
    </row>
    <row r="35" spans="1:22" ht="28.5" hidden="1" customHeight="1" x14ac:dyDescent="0.4">
      <c r="A35" s="8" t="s">
        <v>193</v>
      </c>
      <c r="B35" s="9" t="s">
        <v>30</v>
      </c>
      <c r="C35" s="164"/>
      <c r="D35" s="164"/>
      <c r="E35" s="164"/>
      <c r="F35" s="164"/>
      <c r="G35" s="164"/>
      <c r="H35" s="164"/>
      <c r="I35" s="164"/>
      <c r="J35" s="55">
        <v>220.7</v>
      </c>
      <c r="K35" s="7"/>
      <c r="L35" s="7"/>
      <c r="M35" s="7"/>
      <c r="N35" s="7"/>
      <c r="O35" s="7"/>
      <c r="P35" s="7"/>
      <c r="Q35" s="7"/>
      <c r="R35" s="27"/>
      <c r="S35" s="27"/>
      <c r="T35" s="27"/>
      <c r="U35" s="27"/>
      <c r="V35" s="27"/>
    </row>
    <row r="36" spans="1:22" ht="52.5" hidden="1" x14ac:dyDescent="0.4">
      <c r="A36" s="8" t="s">
        <v>194</v>
      </c>
      <c r="B36" s="45" t="s">
        <v>30</v>
      </c>
      <c r="C36" s="164"/>
      <c r="D36" s="164"/>
      <c r="E36" s="164"/>
      <c r="F36" s="164"/>
      <c r="G36" s="164"/>
      <c r="H36" s="164"/>
      <c r="I36" s="164"/>
      <c r="J36" s="55">
        <v>155.75</v>
      </c>
      <c r="K36" s="7"/>
      <c r="L36" s="7"/>
      <c r="M36" s="7"/>
      <c r="N36" s="7"/>
      <c r="O36" s="7"/>
      <c r="P36" s="7"/>
      <c r="Q36" s="7"/>
      <c r="R36" s="27"/>
      <c r="S36" s="27"/>
      <c r="T36" s="27"/>
      <c r="U36" s="27"/>
      <c r="V36" s="27"/>
    </row>
    <row r="37" spans="1:22" ht="26.25" hidden="1" x14ac:dyDescent="0.4">
      <c r="A37" s="8" t="s">
        <v>195</v>
      </c>
      <c r="B37" s="45" t="s">
        <v>30</v>
      </c>
      <c r="C37" s="164"/>
      <c r="D37" s="164"/>
      <c r="E37" s="164"/>
      <c r="F37" s="164"/>
      <c r="G37" s="164"/>
      <c r="H37" s="164"/>
      <c r="I37" s="164"/>
      <c r="J37" s="55">
        <v>53.63</v>
      </c>
      <c r="K37" s="7"/>
      <c r="L37" s="7"/>
      <c r="M37" s="7"/>
      <c r="N37" s="7"/>
      <c r="O37" s="7"/>
      <c r="P37" s="7"/>
      <c r="Q37" s="7"/>
      <c r="R37" s="27"/>
      <c r="S37" s="27"/>
      <c r="T37" s="27"/>
      <c r="U37" s="27"/>
      <c r="V37" s="27"/>
    </row>
    <row r="38" spans="1:22" ht="26.25" hidden="1" x14ac:dyDescent="0.4">
      <c r="A38" s="8" t="s">
        <v>196</v>
      </c>
      <c r="B38" s="45" t="s">
        <v>30</v>
      </c>
      <c r="C38" s="164"/>
      <c r="D38" s="164"/>
      <c r="E38" s="164"/>
      <c r="F38" s="164"/>
      <c r="G38" s="164"/>
      <c r="H38" s="164"/>
      <c r="I38" s="164"/>
      <c r="J38" s="55">
        <v>180.15</v>
      </c>
      <c r="K38" s="7"/>
      <c r="L38" s="7"/>
      <c r="M38" s="7"/>
      <c r="N38" s="7"/>
      <c r="O38" s="7"/>
      <c r="P38" s="7"/>
      <c r="Q38" s="7"/>
      <c r="R38" s="27"/>
      <c r="S38" s="27"/>
      <c r="T38" s="27"/>
      <c r="U38" s="27"/>
      <c r="V38" s="27"/>
    </row>
    <row r="39" spans="1:22" ht="52.5" hidden="1" x14ac:dyDescent="0.4">
      <c r="A39" s="8" t="s">
        <v>197</v>
      </c>
      <c r="B39" s="45" t="s">
        <v>30</v>
      </c>
      <c r="C39" s="164"/>
      <c r="D39" s="164"/>
      <c r="E39" s="164"/>
      <c r="F39" s="164"/>
      <c r="G39" s="164"/>
      <c r="H39" s="164"/>
      <c r="I39" s="164"/>
      <c r="J39" s="55">
        <v>164.23</v>
      </c>
      <c r="K39" s="7"/>
      <c r="L39" s="7"/>
      <c r="M39" s="7"/>
      <c r="N39" s="7"/>
      <c r="O39" s="7"/>
      <c r="P39" s="7"/>
      <c r="Q39" s="7"/>
      <c r="R39" s="27"/>
      <c r="S39" s="27"/>
      <c r="T39" s="27"/>
      <c r="U39" s="27"/>
      <c r="V39" s="27"/>
    </row>
    <row r="40" spans="1:22" ht="52.5" hidden="1" x14ac:dyDescent="0.4">
      <c r="A40" s="8" t="s">
        <v>198</v>
      </c>
      <c r="B40" s="45" t="s">
        <v>30</v>
      </c>
      <c r="C40" s="164"/>
      <c r="D40" s="164"/>
      <c r="E40" s="164"/>
      <c r="F40" s="164"/>
      <c r="G40" s="164"/>
      <c r="H40" s="164"/>
      <c r="I40" s="164"/>
      <c r="J40" s="55">
        <v>104.62</v>
      </c>
      <c r="K40" s="7"/>
      <c r="L40" s="7"/>
      <c r="M40" s="7"/>
      <c r="N40" s="7"/>
      <c r="O40" s="7"/>
      <c r="P40" s="7"/>
      <c r="Q40" s="7"/>
      <c r="R40" s="27"/>
      <c r="S40" s="27"/>
      <c r="T40" s="27"/>
      <c r="U40" s="27"/>
      <c r="V40" s="27"/>
    </row>
    <row r="41" spans="1:22" ht="78.75" hidden="1" x14ac:dyDescent="0.4">
      <c r="A41" s="8" t="s">
        <v>199</v>
      </c>
      <c r="B41" s="45" t="s">
        <v>30</v>
      </c>
      <c r="C41" s="164"/>
      <c r="D41" s="164"/>
      <c r="E41" s="164"/>
      <c r="F41" s="164"/>
      <c r="G41" s="164"/>
      <c r="H41" s="164"/>
      <c r="I41" s="164"/>
      <c r="J41" s="55">
        <v>106.36</v>
      </c>
      <c r="K41" s="7"/>
      <c r="L41" s="7"/>
      <c r="M41" s="7"/>
      <c r="N41" s="7"/>
      <c r="O41" s="7"/>
      <c r="P41" s="7"/>
      <c r="Q41" s="7"/>
      <c r="R41" s="27"/>
      <c r="S41" s="27"/>
      <c r="T41" s="27"/>
      <c r="U41" s="27"/>
      <c r="V41" s="27"/>
    </row>
    <row r="42" spans="1:22" ht="78.75" hidden="1" x14ac:dyDescent="0.4">
      <c r="A42" s="8" t="s">
        <v>200</v>
      </c>
      <c r="B42" s="45" t="s">
        <v>30</v>
      </c>
      <c r="C42" s="164"/>
      <c r="D42" s="164"/>
      <c r="E42" s="164"/>
      <c r="F42" s="164"/>
      <c r="G42" s="164"/>
      <c r="H42" s="164"/>
      <c r="I42" s="164"/>
      <c r="J42" s="55">
        <v>2.67</v>
      </c>
      <c r="K42" s="7"/>
      <c r="L42" s="7"/>
      <c r="M42" s="7"/>
      <c r="N42" s="7"/>
      <c r="O42" s="7"/>
      <c r="P42" s="7"/>
      <c r="Q42" s="7"/>
      <c r="R42" s="27"/>
      <c r="S42" s="27"/>
      <c r="T42" s="27"/>
      <c r="U42" s="27"/>
      <c r="V42" s="27"/>
    </row>
    <row r="43" spans="1:22" ht="26.25" hidden="1" x14ac:dyDescent="0.4">
      <c r="A43" s="8" t="s">
        <v>201</v>
      </c>
      <c r="B43" s="45" t="s">
        <v>30</v>
      </c>
      <c r="C43" s="164"/>
      <c r="D43" s="164"/>
      <c r="E43" s="164"/>
      <c r="F43" s="164"/>
      <c r="G43" s="164"/>
      <c r="H43" s="164"/>
      <c r="I43" s="164"/>
      <c r="J43" s="55">
        <v>148.66999999999999</v>
      </c>
      <c r="K43" s="7"/>
      <c r="L43" s="7"/>
      <c r="M43" s="7"/>
      <c r="N43" s="7"/>
      <c r="O43" s="7"/>
      <c r="P43" s="7"/>
      <c r="Q43" s="7"/>
      <c r="R43" s="27"/>
      <c r="S43" s="27"/>
      <c r="T43" s="27"/>
      <c r="U43" s="27"/>
      <c r="V43" s="27"/>
    </row>
    <row r="44" spans="1:22" ht="26.25" hidden="1" x14ac:dyDescent="0.4">
      <c r="A44" s="8" t="s">
        <v>202</v>
      </c>
      <c r="B44" s="45" t="s">
        <v>30</v>
      </c>
      <c r="C44" s="164"/>
      <c r="D44" s="164"/>
      <c r="E44" s="164"/>
      <c r="F44" s="164"/>
      <c r="G44" s="164"/>
      <c r="H44" s="164"/>
      <c r="I44" s="164"/>
      <c r="J44" s="55">
        <v>155.18</v>
      </c>
      <c r="K44" s="7"/>
      <c r="L44" s="7"/>
      <c r="M44" s="7"/>
      <c r="N44" s="7"/>
      <c r="O44" s="7"/>
      <c r="P44" s="7"/>
      <c r="Q44" s="7"/>
      <c r="R44" s="27"/>
      <c r="S44" s="27"/>
      <c r="T44" s="27"/>
      <c r="U44" s="27"/>
      <c r="V44" s="27"/>
    </row>
    <row r="45" spans="1:22" ht="52.5" hidden="1" x14ac:dyDescent="0.4">
      <c r="A45" s="8" t="s">
        <v>203</v>
      </c>
      <c r="B45" s="45" t="s">
        <v>30</v>
      </c>
      <c r="C45" s="164"/>
      <c r="D45" s="164"/>
      <c r="E45" s="164"/>
      <c r="F45" s="164"/>
      <c r="G45" s="164"/>
      <c r="H45" s="164"/>
      <c r="I45" s="164"/>
      <c r="J45" s="55">
        <v>187.9</v>
      </c>
      <c r="K45" s="7"/>
      <c r="L45" s="7"/>
      <c r="M45" s="7"/>
      <c r="N45" s="7"/>
      <c r="O45" s="7"/>
      <c r="P45" s="7"/>
      <c r="Q45" s="7"/>
      <c r="R45" s="27"/>
      <c r="S45" s="27"/>
      <c r="T45" s="27"/>
      <c r="U45" s="27"/>
      <c r="V45" s="27"/>
    </row>
    <row r="46" spans="1:22" ht="26.25" hidden="1" x14ac:dyDescent="0.4">
      <c r="A46" s="8" t="s">
        <v>204</v>
      </c>
      <c r="B46" s="45" t="s">
        <v>30</v>
      </c>
      <c r="C46" s="164"/>
      <c r="D46" s="164"/>
      <c r="E46" s="164"/>
      <c r="F46" s="164"/>
      <c r="G46" s="164"/>
      <c r="H46" s="164"/>
      <c r="I46" s="164"/>
      <c r="J46" s="55">
        <v>64.45</v>
      </c>
      <c r="K46" s="7"/>
      <c r="L46" s="7"/>
      <c r="M46" s="7"/>
      <c r="N46" s="7"/>
      <c r="O46" s="7"/>
      <c r="P46" s="7"/>
      <c r="Q46" s="7"/>
      <c r="R46" s="27"/>
      <c r="S46" s="27"/>
      <c r="T46" s="27"/>
      <c r="U46" s="27"/>
      <c r="V46" s="27"/>
    </row>
    <row r="47" spans="1:22" ht="105" hidden="1" x14ac:dyDescent="0.4">
      <c r="A47" s="8" t="s">
        <v>205</v>
      </c>
      <c r="B47" s="45" t="s">
        <v>260</v>
      </c>
      <c r="C47" s="164"/>
      <c r="D47" s="164"/>
      <c r="E47" s="164"/>
      <c r="F47" s="164"/>
      <c r="G47" s="164"/>
      <c r="H47" s="164"/>
      <c r="I47" s="164"/>
      <c r="J47" s="55">
        <v>15.85</v>
      </c>
      <c r="K47" s="7"/>
      <c r="L47" s="7"/>
      <c r="M47" s="7"/>
      <c r="N47" s="7"/>
      <c r="O47" s="7"/>
      <c r="P47" s="7"/>
      <c r="Q47" s="7"/>
      <c r="R47" s="27"/>
      <c r="S47" s="27"/>
      <c r="T47" s="27"/>
      <c r="U47" s="27"/>
      <c r="V47" s="27"/>
    </row>
    <row r="48" spans="1:22" ht="105" hidden="1" x14ac:dyDescent="0.4">
      <c r="A48" s="8" t="s">
        <v>206</v>
      </c>
      <c r="B48" s="45" t="s">
        <v>260</v>
      </c>
      <c r="C48" s="164"/>
      <c r="D48" s="164"/>
      <c r="E48" s="164"/>
      <c r="F48" s="164"/>
      <c r="G48" s="164"/>
      <c r="H48" s="164"/>
      <c r="I48" s="164"/>
      <c r="J48" s="55">
        <v>12.45</v>
      </c>
      <c r="K48" s="7"/>
      <c r="L48" s="7"/>
      <c r="M48" s="7"/>
      <c r="N48" s="7"/>
      <c r="O48" s="7"/>
      <c r="P48" s="7"/>
      <c r="Q48" s="7"/>
      <c r="R48" s="27"/>
      <c r="S48" s="27"/>
      <c r="T48" s="27"/>
      <c r="U48" s="27"/>
      <c r="V48" s="27"/>
    </row>
    <row r="49" spans="1:22" ht="26.25" hidden="1" x14ac:dyDescent="0.4">
      <c r="A49" s="8" t="s">
        <v>207</v>
      </c>
      <c r="B49" s="45" t="s">
        <v>30</v>
      </c>
      <c r="C49" s="164"/>
      <c r="D49" s="164"/>
      <c r="E49" s="164"/>
      <c r="F49" s="164"/>
      <c r="G49" s="164"/>
      <c r="H49" s="164"/>
      <c r="I49" s="164"/>
      <c r="J49" s="55">
        <v>42.7</v>
      </c>
      <c r="K49" s="7"/>
      <c r="L49" s="7"/>
      <c r="M49" s="7"/>
      <c r="N49" s="7"/>
      <c r="O49" s="7"/>
      <c r="P49" s="7"/>
      <c r="Q49" s="7"/>
      <c r="R49" s="27"/>
      <c r="S49" s="27"/>
      <c r="T49" s="27"/>
      <c r="U49" s="27"/>
      <c r="V49" s="27"/>
    </row>
    <row r="50" spans="1:22" ht="52.5" hidden="1" x14ac:dyDescent="0.4">
      <c r="A50" s="8" t="s">
        <v>208</v>
      </c>
      <c r="B50" s="45" t="s">
        <v>30</v>
      </c>
      <c r="C50" s="164"/>
      <c r="D50" s="164"/>
      <c r="E50" s="164"/>
      <c r="F50" s="164"/>
      <c r="G50" s="164"/>
      <c r="H50" s="164"/>
      <c r="I50" s="164"/>
      <c r="J50" s="55">
        <v>42.7</v>
      </c>
      <c r="K50" s="7"/>
      <c r="L50" s="7"/>
      <c r="M50" s="7"/>
      <c r="N50" s="7"/>
      <c r="O50" s="7"/>
      <c r="P50" s="7"/>
      <c r="Q50" s="7"/>
      <c r="R50" s="27"/>
      <c r="S50" s="27"/>
      <c r="T50" s="27"/>
      <c r="U50" s="27"/>
      <c r="V50" s="27"/>
    </row>
    <row r="51" spans="1:22" ht="26.25" hidden="1" x14ac:dyDescent="0.4">
      <c r="A51" s="8" t="s">
        <v>209</v>
      </c>
      <c r="B51" s="45" t="s">
        <v>30</v>
      </c>
      <c r="C51" s="164"/>
      <c r="D51" s="164"/>
      <c r="E51" s="164"/>
      <c r="F51" s="164"/>
      <c r="G51" s="164"/>
      <c r="H51" s="164"/>
      <c r="I51" s="164"/>
      <c r="J51" s="55">
        <v>42.7</v>
      </c>
      <c r="K51" s="7"/>
      <c r="L51" s="7"/>
      <c r="M51" s="7"/>
      <c r="N51" s="7"/>
      <c r="O51" s="7"/>
      <c r="P51" s="7"/>
      <c r="Q51" s="7"/>
      <c r="R51" s="27"/>
      <c r="S51" s="27"/>
      <c r="T51" s="27"/>
      <c r="U51" s="27"/>
      <c r="V51" s="27"/>
    </row>
    <row r="52" spans="1:22" ht="52.5" hidden="1" x14ac:dyDescent="0.4">
      <c r="A52" s="8" t="s">
        <v>210</v>
      </c>
      <c r="B52" s="45" t="s">
        <v>30</v>
      </c>
      <c r="C52" s="164"/>
      <c r="D52" s="164"/>
      <c r="E52" s="164"/>
      <c r="F52" s="164"/>
      <c r="G52" s="164"/>
      <c r="H52" s="164"/>
      <c r="I52" s="164"/>
      <c r="J52" s="55">
        <v>14.39</v>
      </c>
      <c r="K52" s="7"/>
      <c r="L52" s="7"/>
      <c r="M52" s="7"/>
      <c r="N52" s="7"/>
      <c r="O52" s="7"/>
      <c r="P52" s="7"/>
      <c r="Q52" s="7"/>
      <c r="R52" s="27"/>
      <c r="S52" s="27"/>
      <c r="T52" s="27"/>
      <c r="U52" s="27"/>
      <c r="V52" s="27"/>
    </row>
    <row r="53" spans="1:22" ht="52.5" hidden="1" x14ac:dyDescent="0.4">
      <c r="A53" s="8" t="s">
        <v>211</v>
      </c>
      <c r="B53" s="45" t="s">
        <v>30</v>
      </c>
      <c r="C53" s="164"/>
      <c r="D53" s="164"/>
      <c r="E53" s="164"/>
      <c r="F53" s="164"/>
      <c r="G53" s="164"/>
      <c r="H53" s="164"/>
      <c r="I53" s="164"/>
      <c r="J53" s="55">
        <v>44.2</v>
      </c>
      <c r="K53" s="7"/>
      <c r="L53" s="7"/>
      <c r="M53" s="7"/>
      <c r="N53" s="7"/>
      <c r="O53" s="7"/>
      <c r="P53" s="7"/>
      <c r="Q53" s="7"/>
      <c r="R53" s="27"/>
      <c r="S53" s="27"/>
      <c r="T53" s="27"/>
      <c r="U53" s="27"/>
      <c r="V53" s="27"/>
    </row>
    <row r="54" spans="1:22" ht="54" hidden="1" customHeight="1" x14ac:dyDescent="0.4">
      <c r="A54" s="8" t="s">
        <v>212</v>
      </c>
      <c r="B54" s="45" t="s">
        <v>30</v>
      </c>
      <c r="C54" s="164"/>
      <c r="D54" s="164"/>
      <c r="E54" s="164"/>
      <c r="F54" s="164"/>
      <c r="G54" s="164"/>
      <c r="H54" s="164"/>
      <c r="I54" s="164"/>
      <c r="J54" s="55">
        <v>43.3</v>
      </c>
      <c r="K54" s="7"/>
      <c r="L54" s="7"/>
      <c r="M54" s="7"/>
      <c r="N54" s="7"/>
      <c r="O54" s="7"/>
      <c r="P54" s="7"/>
      <c r="Q54" s="7"/>
      <c r="R54" s="27"/>
      <c r="S54" s="27"/>
      <c r="T54" s="27"/>
      <c r="U54" s="27"/>
      <c r="V54" s="27"/>
    </row>
    <row r="55" spans="1:22" ht="81" hidden="1" customHeight="1" x14ac:dyDescent="0.4">
      <c r="A55" s="8" t="s">
        <v>213</v>
      </c>
      <c r="B55" s="9" t="s">
        <v>30</v>
      </c>
      <c r="C55" s="164"/>
      <c r="D55" s="164"/>
      <c r="E55" s="164"/>
      <c r="F55" s="164"/>
      <c r="G55" s="164"/>
      <c r="H55" s="164"/>
      <c r="I55" s="164"/>
      <c r="J55" s="55">
        <v>38.64</v>
      </c>
      <c r="K55" s="7"/>
      <c r="L55" s="7"/>
      <c r="M55" s="7"/>
      <c r="N55" s="7"/>
      <c r="O55" s="7"/>
      <c r="P55" s="7"/>
      <c r="Q55" s="7"/>
      <c r="R55" s="27"/>
      <c r="S55" s="27"/>
      <c r="T55" s="27"/>
      <c r="U55" s="27"/>
      <c r="V55" s="27"/>
    </row>
    <row r="56" spans="1:22" ht="26.25" hidden="1" x14ac:dyDescent="0.4">
      <c r="A56" s="8" t="s">
        <v>214</v>
      </c>
      <c r="B56" s="9" t="s">
        <v>30</v>
      </c>
      <c r="C56" s="164"/>
      <c r="D56" s="164"/>
      <c r="E56" s="164"/>
      <c r="F56" s="164"/>
      <c r="G56" s="164"/>
      <c r="H56" s="164"/>
      <c r="I56" s="164"/>
      <c r="J56" s="55">
        <v>35.06</v>
      </c>
      <c r="K56" s="7"/>
      <c r="L56" s="7"/>
      <c r="M56" s="7"/>
      <c r="N56" s="7"/>
      <c r="O56" s="7"/>
      <c r="P56" s="7"/>
      <c r="Q56" s="7"/>
      <c r="R56" s="27"/>
      <c r="S56" s="27"/>
      <c r="T56" s="27"/>
      <c r="U56" s="27"/>
      <c r="V56" s="27"/>
    </row>
    <row r="57" spans="1:22" ht="52.5" hidden="1" x14ac:dyDescent="0.4">
      <c r="A57" s="8" t="s">
        <v>215</v>
      </c>
      <c r="B57" s="9" t="s">
        <v>30</v>
      </c>
      <c r="C57" s="164"/>
      <c r="D57" s="164"/>
      <c r="E57" s="164"/>
      <c r="F57" s="164"/>
      <c r="G57" s="164"/>
      <c r="H57" s="164"/>
      <c r="I57" s="164"/>
      <c r="J57" s="55">
        <v>36.1</v>
      </c>
      <c r="K57" s="7"/>
      <c r="L57" s="7"/>
      <c r="M57" s="7"/>
      <c r="N57" s="7"/>
      <c r="O57" s="7"/>
      <c r="P57" s="7"/>
      <c r="Q57" s="7"/>
      <c r="R57" s="27"/>
      <c r="S57" s="27"/>
      <c r="T57" s="27"/>
      <c r="U57" s="27"/>
      <c r="V57" s="27"/>
    </row>
    <row r="58" spans="1:22" ht="52.5" hidden="1" x14ac:dyDescent="0.4">
      <c r="A58" s="8" t="s">
        <v>216</v>
      </c>
      <c r="B58" s="9" t="s">
        <v>30</v>
      </c>
      <c r="C58" s="164"/>
      <c r="D58" s="164"/>
      <c r="E58" s="164"/>
      <c r="F58" s="164"/>
      <c r="G58" s="164"/>
      <c r="H58" s="164"/>
      <c r="I58" s="164"/>
      <c r="J58" s="55">
        <v>92.03</v>
      </c>
      <c r="K58" s="7"/>
      <c r="L58" s="7"/>
      <c r="M58" s="7"/>
      <c r="N58" s="7"/>
      <c r="O58" s="7"/>
      <c r="P58" s="7"/>
      <c r="Q58" s="7"/>
      <c r="R58" s="27"/>
      <c r="S58" s="27"/>
      <c r="T58" s="27"/>
      <c r="U58" s="27"/>
      <c r="V58" s="27"/>
    </row>
    <row r="59" spans="1:22" ht="26.25" hidden="1" x14ac:dyDescent="0.4">
      <c r="A59" s="8" t="s">
        <v>217</v>
      </c>
      <c r="B59" s="9" t="s">
        <v>30</v>
      </c>
      <c r="C59" s="164"/>
      <c r="D59" s="164"/>
      <c r="E59" s="164"/>
      <c r="F59" s="164"/>
      <c r="G59" s="164"/>
      <c r="H59" s="164"/>
      <c r="I59" s="164"/>
      <c r="J59" s="55">
        <v>60.29</v>
      </c>
      <c r="K59" s="7"/>
      <c r="L59" s="7"/>
      <c r="M59" s="7"/>
      <c r="N59" s="7"/>
      <c r="O59" s="7"/>
      <c r="P59" s="7"/>
      <c r="Q59" s="7"/>
      <c r="R59" s="27"/>
      <c r="S59" s="27"/>
      <c r="T59" s="27"/>
      <c r="U59" s="27"/>
      <c r="V59" s="27"/>
    </row>
    <row r="60" spans="1:22" ht="26.25" hidden="1" x14ac:dyDescent="0.4">
      <c r="A60" s="8" t="s">
        <v>218</v>
      </c>
      <c r="B60" s="9" t="s">
        <v>30</v>
      </c>
      <c r="C60" s="164"/>
      <c r="D60" s="164"/>
      <c r="E60" s="164"/>
      <c r="F60" s="164"/>
      <c r="G60" s="164"/>
      <c r="H60" s="164"/>
      <c r="I60" s="164"/>
      <c r="J60" s="55">
        <v>23.54</v>
      </c>
      <c r="K60" s="7"/>
      <c r="L60" s="7"/>
      <c r="M60" s="7"/>
      <c r="N60" s="7"/>
      <c r="O60" s="7"/>
      <c r="P60" s="7"/>
      <c r="Q60" s="7"/>
      <c r="R60" s="27"/>
      <c r="S60" s="27"/>
      <c r="T60" s="27"/>
      <c r="U60" s="27"/>
      <c r="V60" s="27"/>
    </row>
    <row r="61" spans="1:22" ht="26.25" hidden="1" x14ac:dyDescent="0.4">
      <c r="A61" s="8" t="s">
        <v>219</v>
      </c>
      <c r="B61" s="45" t="s">
        <v>30</v>
      </c>
      <c r="C61" s="164"/>
      <c r="D61" s="164"/>
      <c r="E61" s="164"/>
      <c r="F61" s="164"/>
      <c r="G61" s="164"/>
      <c r="H61" s="164"/>
      <c r="I61" s="164"/>
      <c r="J61" s="55">
        <v>86.26</v>
      </c>
      <c r="K61" s="7"/>
      <c r="L61" s="7"/>
      <c r="M61" s="7"/>
      <c r="N61" s="7"/>
      <c r="O61" s="7"/>
      <c r="P61" s="7"/>
      <c r="Q61" s="7"/>
      <c r="R61" s="27"/>
      <c r="S61" s="27"/>
      <c r="T61" s="27"/>
      <c r="U61" s="27"/>
      <c r="V61" s="27"/>
    </row>
    <row r="62" spans="1:22" ht="26.25" hidden="1" x14ac:dyDescent="0.4">
      <c r="A62" s="8" t="s">
        <v>220</v>
      </c>
      <c r="B62" s="9" t="s">
        <v>30</v>
      </c>
      <c r="C62" s="164"/>
      <c r="D62" s="164"/>
      <c r="E62" s="164"/>
      <c r="F62" s="164"/>
      <c r="G62" s="164"/>
      <c r="H62" s="164"/>
      <c r="I62" s="164"/>
      <c r="J62" s="55">
        <v>173.67</v>
      </c>
      <c r="K62" s="7"/>
      <c r="L62" s="7"/>
      <c r="M62" s="7"/>
      <c r="N62" s="7"/>
      <c r="O62" s="7"/>
      <c r="P62" s="7"/>
      <c r="Q62" s="7"/>
      <c r="R62" s="27"/>
      <c r="S62" s="27"/>
      <c r="T62" s="27"/>
      <c r="U62" s="27"/>
      <c r="V62" s="27"/>
    </row>
    <row r="63" spans="1:22" ht="26.25" hidden="1" x14ac:dyDescent="0.4">
      <c r="A63" s="8" t="s">
        <v>221</v>
      </c>
      <c r="B63" s="9" t="s">
        <v>30</v>
      </c>
      <c r="C63" s="164"/>
      <c r="D63" s="164"/>
      <c r="E63" s="164"/>
      <c r="F63" s="164"/>
      <c r="G63" s="164"/>
      <c r="H63" s="164"/>
      <c r="I63" s="164"/>
      <c r="J63" s="55">
        <v>74.099999999999994</v>
      </c>
      <c r="K63" s="7"/>
      <c r="L63" s="7"/>
      <c r="M63" s="7"/>
      <c r="N63" s="7"/>
      <c r="O63" s="7"/>
      <c r="P63" s="7"/>
      <c r="Q63" s="7"/>
      <c r="R63" s="27"/>
      <c r="S63" s="27"/>
      <c r="T63" s="27"/>
      <c r="U63" s="27"/>
      <c r="V63" s="27"/>
    </row>
    <row r="64" spans="1:22" ht="31.5" hidden="1" customHeight="1" x14ac:dyDescent="0.4">
      <c r="A64" s="8" t="s">
        <v>222</v>
      </c>
      <c r="B64" s="9" t="s">
        <v>30</v>
      </c>
      <c r="C64" s="165"/>
      <c r="D64" s="165"/>
      <c r="E64" s="165"/>
      <c r="F64" s="165"/>
      <c r="G64" s="165"/>
      <c r="H64" s="165"/>
      <c r="I64" s="165"/>
      <c r="J64" s="9">
        <v>110.05</v>
      </c>
      <c r="K64" s="7"/>
      <c r="L64" s="7"/>
      <c r="M64" s="7"/>
      <c r="N64" s="7"/>
      <c r="O64" s="7"/>
      <c r="P64" s="7"/>
      <c r="Q64" s="7"/>
      <c r="R64" s="27"/>
      <c r="S64" s="27"/>
      <c r="T64" s="27"/>
      <c r="U64" s="27"/>
      <c r="V64" s="27"/>
    </row>
    <row r="65" spans="1:22" ht="26.25" hidden="1" x14ac:dyDescent="0.4">
      <c r="A65" s="8" t="s">
        <v>223</v>
      </c>
      <c r="B65" s="45" t="s">
        <v>30</v>
      </c>
      <c r="C65" s="164"/>
      <c r="D65" s="164"/>
      <c r="E65" s="164"/>
      <c r="F65" s="164"/>
      <c r="G65" s="164"/>
      <c r="H65" s="164"/>
      <c r="I65" s="164"/>
      <c r="J65" s="55">
        <v>103.16</v>
      </c>
      <c r="K65" s="7"/>
      <c r="L65" s="7"/>
      <c r="M65" s="7"/>
      <c r="N65" s="7"/>
      <c r="O65" s="7"/>
      <c r="P65" s="7"/>
      <c r="Q65" s="7"/>
      <c r="R65" s="27"/>
      <c r="S65" s="27"/>
      <c r="T65" s="27"/>
      <c r="U65" s="27"/>
      <c r="V65" s="27"/>
    </row>
    <row r="66" spans="1:22" ht="78.75" hidden="1" x14ac:dyDescent="0.4">
      <c r="A66" s="8" t="s">
        <v>224</v>
      </c>
      <c r="B66" s="45" t="s">
        <v>30</v>
      </c>
      <c r="C66" s="164"/>
      <c r="D66" s="164"/>
      <c r="E66" s="164"/>
      <c r="F66" s="164"/>
      <c r="G66" s="164"/>
      <c r="H66" s="164"/>
      <c r="I66" s="164"/>
      <c r="J66" s="55">
        <v>35.49</v>
      </c>
      <c r="K66" s="7"/>
      <c r="L66" s="7"/>
      <c r="M66" s="7"/>
      <c r="N66" s="7"/>
      <c r="O66" s="7"/>
      <c r="P66" s="7"/>
      <c r="Q66" s="7"/>
      <c r="R66" s="27"/>
      <c r="S66" s="27"/>
      <c r="T66" s="27"/>
      <c r="U66" s="27"/>
      <c r="V66" s="27"/>
    </row>
    <row r="67" spans="1:22" ht="26.25" hidden="1" x14ac:dyDescent="0.4">
      <c r="A67" s="8" t="s">
        <v>225</v>
      </c>
      <c r="B67" s="45" t="s">
        <v>30</v>
      </c>
      <c r="C67" s="164"/>
      <c r="D67" s="164"/>
      <c r="E67" s="164"/>
      <c r="F67" s="164"/>
      <c r="G67" s="164"/>
      <c r="H67" s="164"/>
      <c r="I67" s="164"/>
      <c r="J67" s="55">
        <v>29.63</v>
      </c>
      <c r="K67" s="7"/>
      <c r="L67" s="7"/>
      <c r="M67" s="7"/>
      <c r="N67" s="7"/>
      <c r="O67" s="7"/>
      <c r="P67" s="7"/>
      <c r="Q67" s="7"/>
      <c r="R67" s="27"/>
      <c r="S67" s="27"/>
      <c r="T67" s="27"/>
      <c r="U67" s="27"/>
      <c r="V67" s="27"/>
    </row>
    <row r="68" spans="1:22" ht="26.25" hidden="1" x14ac:dyDescent="0.4">
      <c r="A68" s="8" t="s">
        <v>226</v>
      </c>
      <c r="B68" s="45" t="s">
        <v>30</v>
      </c>
      <c r="C68" s="164"/>
      <c r="D68" s="164"/>
      <c r="E68" s="164"/>
      <c r="F68" s="164"/>
      <c r="G68" s="164"/>
      <c r="H68" s="164"/>
      <c r="I68" s="164"/>
      <c r="J68" s="55">
        <v>91.52</v>
      </c>
      <c r="K68" s="7"/>
      <c r="L68" s="7"/>
      <c r="M68" s="7"/>
      <c r="N68" s="7"/>
      <c r="O68" s="7"/>
      <c r="P68" s="7"/>
      <c r="Q68" s="7"/>
      <c r="R68" s="27"/>
      <c r="S68" s="27"/>
      <c r="T68" s="27"/>
      <c r="U68" s="27"/>
      <c r="V68" s="27"/>
    </row>
    <row r="69" spans="1:22" ht="26.25" hidden="1" x14ac:dyDescent="0.4">
      <c r="A69" s="8" t="s">
        <v>227</v>
      </c>
      <c r="B69" s="45" t="s">
        <v>30</v>
      </c>
      <c r="C69" s="164"/>
      <c r="D69" s="164"/>
      <c r="E69" s="164"/>
      <c r="F69" s="164"/>
      <c r="G69" s="164"/>
      <c r="H69" s="164"/>
      <c r="I69" s="164"/>
      <c r="J69" s="55">
        <v>4.29</v>
      </c>
      <c r="K69" s="7"/>
      <c r="L69" s="7"/>
      <c r="M69" s="7"/>
      <c r="N69" s="7"/>
      <c r="O69" s="7"/>
      <c r="P69" s="7"/>
      <c r="Q69" s="7"/>
      <c r="R69" s="27"/>
      <c r="S69" s="27"/>
      <c r="T69" s="27"/>
      <c r="U69" s="27"/>
      <c r="V69" s="27"/>
    </row>
    <row r="70" spans="1:22" ht="26.25" hidden="1" x14ac:dyDescent="0.4">
      <c r="A70" s="8" t="s">
        <v>228</v>
      </c>
      <c r="B70" s="45" t="s">
        <v>30</v>
      </c>
      <c r="C70" s="164"/>
      <c r="D70" s="164"/>
      <c r="E70" s="164"/>
      <c r="F70" s="164"/>
      <c r="G70" s="164"/>
      <c r="H70" s="164"/>
      <c r="I70" s="164"/>
      <c r="J70" s="55">
        <v>18.84</v>
      </c>
      <c r="K70" s="7"/>
      <c r="L70" s="7"/>
      <c r="M70" s="7"/>
      <c r="N70" s="7"/>
      <c r="O70" s="7"/>
      <c r="P70" s="7"/>
      <c r="Q70" s="7"/>
      <c r="R70" s="27"/>
      <c r="S70" s="27"/>
      <c r="T70" s="27"/>
      <c r="U70" s="27"/>
      <c r="V70" s="27"/>
    </row>
    <row r="71" spans="1:22" ht="26.25" hidden="1" x14ac:dyDescent="0.4">
      <c r="A71" s="8" t="s">
        <v>229</v>
      </c>
      <c r="B71" s="45" t="s">
        <v>30</v>
      </c>
      <c r="C71" s="164"/>
      <c r="D71" s="164"/>
      <c r="E71" s="164"/>
      <c r="F71" s="164"/>
      <c r="G71" s="164"/>
      <c r="H71" s="164"/>
      <c r="I71" s="164"/>
      <c r="J71" s="55">
        <v>120.3</v>
      </c>
      <c r="K71" s="7"/>
      <c r="L71" s="7"/>
      <c r="M71" s="7"/>
      <c r="N71" s="7"/>
      <c r="O71" s="7"/>
      <c r="P71" s="7"/>
      <c r="Q71" s="7"/>
      <c r="R71" s="27"/>
      <c r="S71" s="27"/>
      <c r="T71" s="27"/>
      <c r="U71" s="27"/>
      <c r="V71" s="27"/>
    </row>
    <row r="72" spans="1:22" ht="26.25" hidden="1" x14ac:dyDescent="0.4">
      <c r="A72" s="8" t="s">
        <v>230</v>
      </c>
      <c r="B72" s="45" t="s">
        <v>30</v>
      </c>
      <c r="C72" s="164"/>
      <c r="D72" s="164"/>
      <c r="E72" s="164"/>
      <c r="F72" s="164"/>
      <c r="G72" s="164"/>
      <c r="H72" s="164"/>
      <c r="I72" s="164"/>
      <c r="J72" s="55">
        <v>75.62</v>
      </c>
      <c r="K72" s="7"/>
      <c r="L72" s="7"/>
      <c r="M72" s="7"/>
      <c r="N72" s="7"/>
      <c r="O72" s="7"/>
      <c r="P72" s="7"/>
      <c r="Q72" s="7"/>
      <c r="R72" s="27"/>
      <c r="S72" s="27"/>
      <c r="T72" s="27"/>
      <c r="U72" s="27"/>
      <c r="V72" s="27"/>
    </row>
    <row r="73" spans="1:22" ht="26.25" hidden="1" x14ac:dyDescent="0.4">
      <c r="A73" s="8" t="s">
        <v>231</v>
      </c>
      <c r="B73" s="45" t="s">
        <v>30</v>
      </c>
      <c r="C73" s="164"/>
      <c r="D73" s="164"/>
      <c r="E73" s="164"/>
      <c r="F73" s="164"/>
      <c r="G73" s="164"/>
      <c r="H73" s="164"/>
      <c r="I73" s="164"/>
      <c r="J73" s="55">
        <v>8.6</v>
      </c>
      <c r="K73" s="7"/>
      <c r="L73" s="7"/>
      <c r="M73" s="7"/>
      <c r="N73" s="7"/>
      <c r="O73" s="7"/>
      <c r="P73" s="7"/>
      <c r="Q73" s="7"/>
      <c r="R73" s="27"/>
      <c r="S73" s="27"/>
      <c r="T73" s="27"/>
      <c r="U73" s="27"/>
      <c r="V73" s="27"/>
    </row>
    <row r="74" spans="1:22" ht="26.25" hidden="1" x14ac:dyDescent="0.4">
      <c r="A74" s="8" t="s">
        <v>232</v>
      </c>
      <c r="B74" s="45" t="s">
        <v>30</v>
      </c>
      <c r="C74" s="164"/>
      <c r="D74" s="164"/>
      <c r="E74" s="164"/>
      <c r="F74" s="164"/>
      <c r="G74" s="164"/>
      <c r="H74" s="164"/>
      <c r="I74" s="164"/>
      <c r="J74" s="55">
        <v>15.7</v>
      </c>
      <c r="K74" s="7"/>
      <c r="L74" s="7"/>
      <c r="M74" s="7"/>
      <c r="N74" s="7"/>
      <c r="O74" s="7"/>
      <c r="P74" s="7"/>
      <c r="Q74" s="7"/>
      <c r="R74" s="27"/>
      <c r="S74" s="27"/>
      <c r="T74" s="27"/>
      <c r="U74" s="27"/>
      <c r="V74" s="27"/>
    </row>
    <row r="75" spans="1:22" ht="52.5" hidden="1" x14ac:dyDescent="0.4">
      <c r="A75" s="8" t="s">
        <v>233</v>
      </c>
      <c r="B75" s="45" t="s">
        <v>30</v>
      </c>
      <c r="C75" s="164"/>
      <c r="D75" s="164"/>
      <c r="E75" s="164"/>
      <c r="F75" s="164"/>
      <c r="G75" s="164"/>
      <c r="H75" s="164"/>
      <c r="I75" s="164"/>
      <c r="J75" s="55">
        <v>16.37</v>
      </c>
      <c r="K75" s="7"/>
      <c r="L75" s="7"/>
      <c r="M75" s="7"/>
      <c r="N75" s="7"/>
      <c r="O75" s="7"/>
      <c r="P75" s="7"/>
      <c r="Q75" s="7"/>
      <c r="R75" s="27"/>
      <c r="S75" s="27"/>
      <c r="T75" s="27"/>
      <c r="U75" s="27"/>
      <c r="V75" s="27"/>
    </row>
    <row r="76" spans="1:22" ht="26.25" x14ac:dyDescent="0.4">
      <c r="A76" s="8" t="s">
        <v>234</v>
      </c>
      <c r="B76" s="45" t="s">
        <v>30</v>
      </c>
      <c r="C76" s="13">
        <v>1144.3</v>
      </c>
      <c r="D76" s="282">
        <v>905.56</v>
      </c>
      <c r="E76" s="282">
        <v>631.20000000000005</v>
      </c>
      <c r="F76" s="282">
        <v>656</v>
      </c>
      <c r="G76" s="13">
        <f>F76*$G$10</f>
        <v>638.28800000000001</v>
      </c>
      <c r="H76" s="13">
        <f>G76*$H$10</f>
        <v>649.13889599999993</v>
      </c>
      <c r="I76" s="13">
        <f>H76*$I$10</f>
        <v>658.87597943999992</v>
      </c>
      <c r="J76" s="55">
        <v>25.08</v>
      </c>
      <c r="K76" s="7">
        <f>C76*J76</f>
        <v>28699.043999999998</v>
      </c>
      <c r="L76" s="7">
        <f>D76*$J$76</f>
        <v>22711.444799999997</v>
      </c>
      <c r="M76" s="7">
        <f t="shared" ref="M76:Q76" si="12">E76*$J$76</f>
        <v>15830.495999999999</v>
      </c>
      <c r="N76" s="7">
        <f t="shared" si="12"/>
        <v>16452.48</v>
      </c>
      <c r="O76" s="7">
        <f t="shared" si="12"/>
        <v>16008.26304</v>
      </c>
      <c r="P76" s="7">
        <f t="shared" si="12"/>
        <v>16280.403511679997</v>
      </c>
      <c r="Q76" s="7">
        <f t="shared" si="12"/>
        <v>16524.609564355196</v>
      </c>
      <c r="R76" s="166">
        <f>M76/L76*100</f>
        <v>69.702725385396889</v>
      </c>
      <c r="S76" s="166">
        <f t="shared" ref="S76:V91" si="13">N76/M76*100</f>
        <v>103.92902408111533</v>
      </c>
      <c r="T76" s="166">
        <f t="shared" si="13"/>
        <v>97.3</v>
      </c>
      <c r="U76" s="166">
        <f t="shared" si="13"/>
        <v>101.69999999999999</v>
      </c>
      <c r="V76" s="166">
        <f t="shared" si="13"/>
        <v>101.49999999999999</v>
      </c>
    </row>
    <row r="77" spans="1:22" ht="52.5" x14ac:dyDescent="0.4">
      <c r="A77" s="8" t="s">
        <v>235</v>
      </c>
      <c r="B77" s="45" t="s">
        <v>30</v>
      </c>
      <c r="C77" s="13">
        <v>138.30000000000001</v>
      </c>
      <c r="D77" s="282">
        <v>98.12</v>
      </c>
      <c r="E77" s="282">
        <v>110.5</v>
      </c>
      <c r="F77" s="282">
        <v>104.8</v>
      </c>
      <c r="G77" s="13">
        <f>F77*$G$10</f>
        <v>101.9704</v>
      </c>
      <c r="H77" s="13">
        <f>G77*$H$10</f>
        <v>103.70389679999998</v>
      </c>
      <c r="I77" s="13">
        <f t="shared" ref="I77:I80" si="14">H77*$I$10</f>
        <v>105.25945525199997</v>
      </c>
      <c r="J77" s="55">
        <v>97.04</v>
      </c>
      <c r="K77" s="7">
        <f>C77*J77</f>
        <v>13420.632000000001</v>
      </c>
      <c r="L77" s="7">
        <f>D77*$J$77</f>
        <v>9521.5648000000019</v>
      </c>
      <c r="M77" s="7">
        <f t="shared" ref="M77:Q77" si="15">E77*$J$77</f>
        <v>10722.92</v>
      </c>
      <c r="N77" s="7">
        <f t="shared" si="15"/>
        <v>10169.792000000001</v>
      </c>
      <c r="O77" s="7">
        <f t="shared" si="15"/>
        <v>9895.2076159999997</v>
      </c>
      <c r="P77" s="7">
        <f t="shared" si="15"/>
        <v>10063.426145471998</v>
      </c>
      <c r="Q77" s="7">
        <f t="shared" si="15"/>
        <v>10214.377537654078</v>
      </c>
      <c r="R77" s="166">
        <f t="shared" ref="R77:R80" si="16">M77/L77*100</f>
        <v>112.61720342437829</v>
      </c>
      <c r="S77" s="166">
        <f t="shared" si="13"/>
        <v>94.841628959276022</v>
      </c>
      <c r="T77" s="166">
        <f t="shared" si="13"/>
        <v>97.299999999999983</v>
      </c>
      <c r="U77" s="166">
        <f t="shared" si="13"/>
        <v>101.69999999999999</v>
      </c>
      <c r="V77" s="166">
        <f t="shared" si="13"/>
        <v>101.49999999999999</v>
      </c>
    </row>
    <row r="78" spans="1:22" ht="52.5" hidden="1" x14ac:dyDescent="0.4">
      <c r="A78" s="8" t="s">
        <v>236</v>
      </c>
      <c r="B78" s="45" t="s">
        <v>30</v>
      </c>
      <c r="C78" s="13"/>
      <c r="D78" s="282"/>
      <c r="E78" s="282"/>
      <c r="F78" s="282"/>
      <c r="G78" s="13">
        <f t="shared" ref="G78:G81" si="17">F78*$G$10</f>
        <v>0</v>
      </c>
      <c r="H78" s="13">
        <f t="shared" ref="H78:H80" si="18">G78*$H$10</f>
        <v>0</v>
      </c>
      <c r="I78" s="13">
        <f t="shared" si="14"/>
        <v>0</v>
      </c>
      <c r="J78" s="55">
        <v>40.6</v>
      </c>
      <c r="K78" s="7"/>
      <c r="L78" s="7"/>
      <c r="M78" s="7"/>
      <c r="N78" s="7"/>
      <c r="O78" s="7"/>
      <c r="P78" s="7"/>
      <c r="Q78" s="7"/>
      <c r="R78" s="166" t="e">
        <f t="shared" si="16"/>
        <v>#DIV/0!</v>
      </c>
      <c r="S78" s="166" t="e">
        <f t="shared" si="13"/>
        <v>#DIV/0!</v>
      </c>
      <c r="T78" s="166" t="e">
        <f t="shared" si="13"/>
        <v>#DIV/0!</v>
      </c>
      <c r="U78" s="166" t="e">
        <f t="shared" si="13"/>
        <v>#DIV/0!</v>
      </c>
      <c r="V78" s="166" t="e">
        <f t="shared" si="13"/>
        <v>#DIV/0!</v>
      </c>
    </row>
    <row r="79" spans="1:22" ht="78.75" hidden="1" x14ac:dyDescent="0.4">
      <c r="A79" s="8" t="s">
        <v>237</v>
      </c>
      <c r="B79" s="45" t="s">
        <v>30</v>
      </c>
      <c r="C79" s="13"/>
      <c r="D79" s="282"/>
      <c r="E79" s="282"/>
      <c r="F79" s="282"/>
      <c r="G79" s="13">
        <f t="shared" si="17"/>
        <v>0</v>
      </c>
      <c r="H79" s="13">
        <f t="shared" si="18"/>
        <v>0</v>
      </c>
      <c r="I79" s="13">
        <f t="shared" si="14"/>
        <v>0</v>
      </c>
      <c r="J79" s="55">
        <v>47.2</v>
      </c>
      <c r="K79" s="7"/>
      <c r="L79" s="7"/>
      <c r="M79" s="7"/>
      <c r="N79" s="7"/>
      <c r="O79" s="7"/>
      <c r="P79" s="7"/>
      <c r="Q79" s="7"/>
      <c r="R79" s="166" t="e">
        <f t="shared" si="16"/>
        <v>#DIV/0!</v>
      </c>
      <c r="S79" s="166" t="e">
        <f t="shared" si="13"/>
        <v>#DIV/0!</v>
      </c>
      <c r="T79" s="166" t="e">
        <f t="shared" si="13"/>
        <v>#DIV/0!</v>
      </c>
      <c r="U79" s="166" t="e">
        <f t="shared" si="13"/>
        <v>#DIV/0!</v>
      </c>
      <c r="V79" s="166" t="e">
        <f t="shared" si="13"/>
        <v>#DIV/0!</v>
      </c>
    </row>
    <row r="80" spans="1:22" ht="52.5" hidden="1" x14ac:dyDescent="0.4">
      <c r="A80" s="8" t="s">
        <v>238</v>
      </c>
      <c r="B80" s="45" t="s">
        <v>30</v>
      </c>
      <c r="C80" s="13"/>
      <c r="D80" s="282"/>
      <c r="E80" s="282"/>
      <c r="F80" s="282"/>
      <c r="G80" s="13">
        <f t="shared" si="17"/>
        <v>0</v>
      </c>
      <c r="H80" s="13">
        <f t="shared" si="18"/>
        <v>0</v>
      </c>
      <c r="I80" s="13">
        <f t="shared" si="14"/>
        <v>0</v>
      </c>
      <c r="J80" s="55">
        <v>67.5</v>
      </c>
      <c r="K80" s="7"/>
      <c r="L80" s="7"/>
      <c r="M80" s="7"/>
      <c r="N80" s="7"/>
      <c r="O80" s="7"/>
      <c r="P80" s="7"/>
      <c r="Q80" s="7"/>
      <c r="R80" s="166" t="e">
        <f t="shared" si="16"/>
        <v>#DIV/0!</v>
      </c>
      <c r="S80" s="166" t="e">
        <f t="shared" si="13"/>
        <v>#DIV/0!</v>
      </c>
      <c r="T80" s="166" t="e">
        <f t="shared" si="13"/>
        <v>#DIV/0!</v>
      </c>
      <c r="U80" s="166" t="e">
        <f t="shared" si="13"/>
        <v>#DIV/0!</v>
      </c>
      <c r="V80" s="166" t="e">
        <f t="shared" si="13"/>
        <v>#DIV/0!</v>
      </c>
    </row>
    <row r="81" spans="1:22" ht="52.5" x14ac:dyDescent="0.4">
      <c r="A81" s="8" t="s">
        <v>239</v>
      </c>
      <c r="B81" s="45" t="s">
        <v>30</v>
      </c>
      <c r="C81" s="13">
        <v>2104.6999999999998</v>
      </c>
      <c r="D81" s="282">
        <v>1441.96</v>
      </c>
      <c r="E81" s="282">
        <v>2920</v>
      </c>
      <c r="F81" s="282">
        <v>3684</v>
      </c>
      <c r="G81" s="13">
        <f t="shared" si="17"/>
        <v>3584.5319999999997</v>
      </c>
      <c r="H81" s="13">
        <f>G81*$H$10</f>
        <v>3645.4690439999995</v>
      </c>
      <c r="I81" s="13">
        <f>H81*$I$10</f>
        <v>3700.1510796599991</v>
      </c>
      <c r="J81" s="55">
        <v>14.2</v>
      </c>
      <c r="K81" s="7">
        <f>C81*J81</f>
        <v>29886.739999999994</v>
      </c>
      <c r="L81" s="7">
        <f>D81*$J$81</f>
        <v>20475.831999999999</v>
      </c>
      <c r="M81" s="7">
        <f t="shared" ref="M81:P81" si="19">E81*$J$81</f>
        <v>41464</v>
      </c>
      <c r="N81" s="7">
        <f t="shared" si="19"/>
        <v>52312.799999999996</v>
      </c>
      <c r="O81" s="7">
        <f t="shared" si="19"/>
        <v>50900.354399999997</v>
      </c>
      <c r="P81" s="7">
        <f t="shared" si="19"/>
        <v>51765.660424799993</v>
      </c>
      <c r="Q81" s="7">
        <f>I81*$J$81</f>
        <v>52542.145331171989</v>
      </c>
      <c r="R81" s="166">
        <f>M81/L81*100</f>
        <v>202.50214985159093</v>
      </c>
      <c r="S81" s="166">
        <f t="shared" si="13"/>
        <v>126.16438356164383</v>
      </c>
      <c r="T81" s="166">
        <f t="shared" si="13"/>
        <v>97.3</v>
      </c>
      <c r="U81" s="166">
        <f t="shared" si="13"/>
        <v>101.69999999999999</v>
      </c>
      <c r="V81" s="166">
        <f>Q81/P81*100</f>
        <v>101.49999999999999</v>
      </c>
    </row>
    <row r="82" spans="1:22" ht="26.25" hidden="1" x14ac:dyDescent="0.4">
      <c r="A82" s="8" t="s">
        <v>240</v>
      </c>
      <c r="B82" s="45" t="s">
        <v>32</v>
      </c>
      <c r="C82" s="5"/>
      <c r="D82" s="5"/>
      <c r="E82" s="5"/>
      <c r="F82" s="5"/>
      <c r="G82" s="5"/>
      <c r="H82" s="5"/>
      <c r="I82" s="5"/>
      <c r="J82" s="55">
        <v>12.62</v>
      </c>
      <c r="K82" s="7">
        <f t="shared" ref="K82:K101" si="20">C82*J82</f>
        <v>0</v>
      </c>
      <c r="L82" s="7">
        <f t="shared" ref="L82:L101" si="21">D82*J82</f>
        <v>0</v>
      </c>
      <c r="M82" s="7">
        <f t="shared" ref="M82:M101" si="22">E82*J82</f>
        <v>0</v>
      </c>
      <c r="N82" s="7">
        <f t="shared" ref="N82:N101" si="23">F82*J82</f>
        <v>0</v>
      </c>
      <c r="O82" s="7">
        <f t="shared" ref="O82:O101" si="24">G82*J82</f>
        <v>0</v>
      </c>
      <c r="P82" s="7">
        <f t="shared" ref="P82:P101" si="25">H82*J82</f>
        <v>0</v>
      </c>
      <c r="Q82" s="7"/>
      <c r="R82" s="166" t="e">
        <f t="shared" ref="R82:V96" si="26">M82/L82*100</f>
        <v>#DIV/0!</v>
      </c>
      <c r="S82" s="166" t="e">
        <f t="shared" si="13"/>
        <v>#DIV/0!</v>
      </c>
      <c r="T82" s="166" t="e">
        <f t="shared" si="13"/>
        <v>#DIV/0!</v>
      </c>
      <c r="U82" s="166" t="e">
        <f t="shared" si="13"/>
        <v>#DIV/0!</v>
      </c>
      <c r="V82" s="166" t="e">
        <f t="shared" si="13"/>
        <v>#DIV/0!</v>
      </c>
    </row>
    <row r="83" spans="1:22" ht="26.25" hidden="1" x14ac:dyDescent="0.4">
      <c r="A83" s="8" t="s">
        <v>241</v>
      </c>
      <c r="B83" s="45" t="s">
        <v>30</v>
      </c>
      <c r="C83" s="5"/>
      <c r="D83" s="5"/>
      <c r="E83" s="5"/>
      <c r="F83" s="5"/>
      <c r="G83" s="5"/>
      <c r="H83" s="5"/>
      <c r="I83" s="5"/>
      <c r="J83" s="55">
        <v>49.22</v>
      </c>
      <c r="K83" s="7">
        <f t="shared" si="20"/>
        <v>0</v>
      </c>
      <c r="L83" s="7">
        <f t="shared" si="21"/>
        <v>0</v>
      </c>
      <c r="M83" s="7">
        <f t="shared" si="22"/>
        <v>0</v>
      </c>
      <c r="N83" s="7">
        <f t="shared" si="23"/>
        <v>0</v>
      </c>
      <c r="O83" s="7">
        <f t="shared" si="24"/>
        <v>0</v>
      </c>
      <c r="P83" s="7">
        <f t="shared" si="25"/>
        <v>0</v>
      </c>
      <c r="Q83" s="7"/>
      <c r="R83" s="166" t="e">
        <f t="shared" si="26"/>
        <v>#DIV/0!</v>
      </c>
      <c r="S83" s="166" t="e">
        <f t="shared" si="13"/>
        <v>#DIV/0!</v>
      </c>
      <c r="T83" s="166" t="e">
        <f t="shared" si="13"/>
        <v>#DIV/0!</v>
      </c>
      <c r="U83" s="166" t="e">
        <f t="shared" si="13"/>
        <v>#DIV/0!</v>
      </c>
      <c r="V83" s="166" t="e">
        <f t="shared" si="13"/>
        <v>#DIV/0!</v>
      </c>
    </row>
    <row r="84" spans="1:22" ht="26.25" hidden="1" x14ac:dyDescent="0.4">
      <c r="A84" s="8" t="s">
        <v>242</v>
      </c>
      <c r="B84" s="45" t="s">
        <v>30</v>
      </c>
      <c r="C84" s="5"/>
      <c r="D84" s="5"/>
      <c r="E84" s="5"/>
      <c r="F84" s="5"/>
      <c r="G84" s="5"/>
      <c r="H84" s="5"/>
      <c r="I84" s="5"/>
      <c r="J84" s="55">
        <v>58</v>
      </c>
      <c r="K84" s="7">
        <f t="shared" si="20"/>
        <v>0</v>
      </c>
      <c r="L84" s="7">
        <f t="shared" si="21"/>
        <v>0</v>
      </c>
      <c r="M84" s="7">
        <f t="shared" si="22"/>
        <v>0</v>
      </c>
      <c r="N84" s="7">
        <f t="shared" si="23"/>
        <v>0</v>
      </c>
      <c r="O84" s="7">
        <f t="shared" si="24"/>
        <v>0</v>
      </c>
      <c r="P84" s="7">
        <f t="shared" si="25"/>
        <v>0</v>
      </c>
      <c r="Q84" s="7"/>
      <c r="R84" s="166" t="e">
        <f t="shared" si="26"/>
        <v>#DIV/0!</v>
      </c>
      <c r="S84" s="166" t="e">
        <f t="shared" si="13"/>
        <v>#DIV/0!</v>
      </c>
      <c r="T84" s="166" t="e">
        <f t="shared" si="13"/>
        <v>#DIV/0!</v>
      </c>
      <c r="U84" s="166" t="e">
        <f t="shared" si="13"/>
        <v>#DIV/0!</v>
      </c>
      <c r="V84" s="166" t="e">
        <f t="shared" si="13"/>
        <v>#DIV/0!</v>
      </c>
    </row>
    <row r="85" spans="1:22" ht="26.25" hidden="1" x14ac:dyDescent="0.4">
      <c r="A85" s="8" t="s">
        <v>243</v>
      </c>
      <c r="B85" s="45" t="s">
        <v>30</v>
      </c>
      <c r="C85" s="5"/>
      <c r="D85" s="5"/>
      <c r="E85" s="5"/>
      <c r="F85" s="5"/>
      <c r="G85" s="5"/>
      <c r="H85" s="5"/>
      <c r="I85" s="5"/>
      <c r="J85" s="55">
        <v>85.11</v>
      </c>
      <c r="K85" s="7">
        <f t="shared" si="20"/>
        <v>0</v>
      </c>
      <c r="L85" s="7">
        <f t="shared" si="21"/>
        <v>0</v>
      </c>
      <c r="M85" s="7">
        <f t="shared" si="22"/>
        <v>0</v>
      </c>
      <c r="N85" s="7">
        <f t="shared" si="23"/>
        <v>0</v>
      </c>
      <c r="O85" s="7">
        <f t="shared" si="24"/>
        <v>0</v>
      </c>
      <c r="P85" s="7">
        <f t="shared" si="25"/>
        <v>0</v>
      </c>
      <c r="Q85" s="7"/>
      <c r="R85" s="166" t="e">
        <f t="shared" si="26"/>
        <v>#DIV/0!</v>
      </c>
      <c r="S85" s="166" t="e">
        <f t="shared" si="13"/>
        <v>#DIV/0!</v>
      </c>
      <c r="T85" s="166" t="e">
        <f t="shared" si="13"/>
        <v>#DIV/0!</v>
      </c>
      <c r="U85" s="166" t="e">
        <f t="shared" si="13"/>
        <v>#DIV/0!</v>
      </c>
      <c r="V85" s="166" t="e">
        <f t="shared" si="13"/>
        <v>#DIV/0!</v>
      </c>
    </row>
    <row r="86" spans="1:22" ht="26.25" hidden="1" x14ac:dyDescent="0.4">
      <c r="A86" s="8" t="s">
        <v>244</v>
      </c>
      <c r="B86" s="45" t="s">
        <v>30</v>
      </c>
      <c r="C86" s="5"/>
      <c r="D86" s="5"/>
      <c r="E86" s="5"/>
      <c r="F86" s="5"/>
      <c r="G86" s="5"/>
      <c r="H86" s="5"/>
      <c r="I86" s="5"/>
      <c r="J86" s="55">
        <v>1.93</v>
      </c>
      <c r="K86" s="7">
        <f t="shared" si="20"/>
        <v>0</v>
      </c>
      <c r="L86" s="7">
        <f t="shared" si="21"/>
        <v>0</v>
      </c>
      <c r="M86" s="7">
        <f t="shared" si="22"/>
        <v>0</v>
      </c>
      <c r="N86" s="7">
        <f t="shared" si="23"/>
        <v>0</v>
      </c>
      <c r="O86" s="7">
        <f t="shared" si="24"/>
        <v>0</v>
      </c>
      <c r="P86" s="7">
        <f t="shared" si="25"/>
        <v>0</v>
      </c>
      <c r="Q86" s="7"/>
      <c r="R86" s="166" t="e">
        <f t="shared" si="26"/>
        <v>#DIV/0!</v>
      </c>
      <c r="S86" s="166" t="e">
        <f t="shared" si="13"/>
        <v>#DIV/0!</v>
      </c>
      <c r="T86" s="166" t="e">
        <f t="shared" si="13"/>
        <v>#DIV/0!</v>
      </c>
      <c r="U86" s="166" t="e">
        <f t="shared" si="13"/>
        <v>#DIV/0!</v>
      </c>
      <c r="V86" s="166" t="e">
        <f t="shared" si="13"/>
        <v>#DIV/0!</v>
      </c>
    </row>
    <row r="87" spans="1:22" ht="26.25" hidden="1" x14ac:dyDescent="0.4">
      <c r="A87" s="8" t="s">
        <v>245</v>
      </c>
      <c r="B87" s="45" t="s">
        <v>30</v>
      </c>
      <c r="C87" s="5"/>
      <c r="D87" s="5"/>
      <c r="E87" s="5"/>
      <c r="F87" s="5"/>
      <c r="G87" s="5"/>
      <c r="H87" s="5"/>
      <c r="I87" s="5"/>
      <c r="J87" s="55">
        <v>279.60000000000002</v>
      </c>
      <c r="K87" s="7">
        <f t="shared" si="20"/>
        <v>0</v>
      </c>
      <c r="L87" s="7">
        <f t="shared" si="21"/>
        <v>0</v>
      </c>
      <c r="M87" s="7">
        <f t="shared" si="22"/>
        <v>0</v>
      </c>
      <c r="N87" s="7">
        <f t="shared" si="23"/>
        <v>0</v>
      </c>
      <c r="O87" s="7">
        <f t="shared" si="24"/>
        <v>0</v>
      </c>
      <c r="P87" s="7">
        <f t="shared" si="25"/>
        <v>0</v>
      </c>
      <c r="Q87" s="7"/>
      <c r="R87" s="166" t="e">
        <f t="shared" si="26"/>
        <v>#DIV/0!</v>
      </c>
      <c r="S87" s="166" t="e">
        <f t="shared" si="13"/>
        <v>#DIV/0!</v>
      </c>
      <c r="T87" s="166" t="e">
        <f t="shared" si="13"/>
        <v>#DIV/0!</v>
      </c>
      <c r="U87" s="166" t="e">
        <f t="shared" si="13"/>
        <v>#DIV/0!</v>
      </c>
      <c r="V87" s="166" t="e">
        <f t="shared" si="13"/>
        <v>#DIV/0!</v>
      </c>
    </row>
    <row r="88" spans="1:22" ht="105" hidden="1" x14ac:dyDescent="0.4">
      <c r="A88" s="8" t="s">
        <v>246</v>
      </c>
      <c r="B88" s="45" t="s">
        <v>30</v>
      </c>
      <c r="C88" s="5"/>
      <c r="D88" s="5"/>
      <c r="E88" s="5"/>
      <c r="F88" s="5"/>
      <c r="G88" s="5"/>
      <c r="H88" s="5"/>
      <c r="I88" s="5"/>
      <c r="J88" s="55">
        <v>61.1</v>
      </c>
      <c r="K88" s="7">
        <f t="shared" si="20"/>
        <v>0</v>
      </c>
      <c r="L88" s="7">
        <f t="shared" si="21"/>
        <v>0</v>
      </c>
      <c r="M88" s="7">
        <f t="shared" si="22"/>
        <v>0</v>
      </c>
      <c r="N88" s="7">
        <f t="shared" si="23"/>
        <v>0</v>
      </c>
      <c r="O88" s="7">
        <f t="shared" si="24"/>
        <v>0</v>
      </c>
      <c r="P88" s="7">
        <f t="shared" si="25"/>
        <v>0</v>
      </c>
      <c r="Q88" s="7"/>
      <c r="R88" s="166" t="e">
        <f t="shared" si="26"/>
        <v>#DIV/0!</v>
      </c>
      <c r="S88" s="166" t="e">
        <f t="shared" si="13"/>
        <v>#DIV/0!</v>
      </c>
      <c r="T88" s="166" t="e">
        <f t="shared" si="13"/>
        <v>#DIV/0!</v>
      </c>
      <c r="U88" s="166" t="e">
        <f t="shared" si="13"/>
        <v>#DIV/0!</v>
      </c>
      <c r="V88" s="166" t="e">
        <f t="shared" si="13"/>
        <v>#DIV/0!</v>
      </c>
    </row>
    <row r="89" spans="1:22" ht="52.5" hidden="1" x14ac:dyDescent="0.4">
      <c r="A89" s="8" t="s">
        <v>247</v>
      </c>
      <c r="B89" s="45" t="s">
        <v>30</v>
      </c>
      <c r="C89" s="5"/>
      <c r="D89" s="5"/>
      <c r="E89" s="5"/>
      <c r="F89" s="5"/>
      <c r="G89" s="5"/>
      <c r="H89" s="5"/>
      <c r="I89" s="5"/>
      <c r="J89" s="55">
        <v>75.14</v>
      </c>
      <c r="K89" s="7">
        <f t="shared" si="20"/>
        <v>0</v>
      </c>
      <c r="L89" s="7">
        <f t="shared" si="21"/>
        <v>0</v>
      </c>
      <c r="M89" s="7">
        <f t="shared" si="22"/>
        <v>0</v>
      </c>
      <c r="N89" s="7">
        <f t="shared" si="23"/>
        <v>0</v>
      </c>
      <c r="O89" s="7">
        <f t="shared" si="24"/>
        <v>0</v>
      </c>
      <c r="P89" s="7">
        <f t="shared" si="25"/>
        <v>0</v>
      </c>
      <c r="Q89" s="7"/>
      <c r="R89" s="166" t="e">
        <f t="shared" si="26"/>
        <v>#DIV/0!</v>
      </c>
      <c r="S89" s="166" t="e">
        <f t="shared" si="13"/>
        <v>#DIV/0!</v>
      </c>
      <c r="T89" s="166" t="e">
        <f t="shared" si="13"/>
        <v>#DIV/0!</v>
      </c>
      <c r="U89" s="166" t="e">
        <f t="shared" si="13"/>
        <v>#DIV/0!</v>
      </c>
      <c r="V89" s="166" t="e">
        <f t="shared" si="13"/>
        <v>#DIV/0!</v>
      </c>
    </row>
    <row r="90" spans="1:22" ht="78.75" hidden="1" x14ac:dyDescent="0.4">
      <c r="A90" s="8" t="s">
        <v>248</v>
      </c>
      <c r="B90" s="45" t="s">
        <v>30</v>
      </c>
      <c r="C90" s="5"/>
      <c r="D90" s="5"/>
      <c r="E90" s="5"/>
      <c r="F90" s="5"/>
      <c r="G90" s="5"/>
      <c r="H90" s="5"/>
      <c r="I90" s="5"/>
      <c r="J90" s="55">
        <v>110.7</v>
      </c>
      <c r="K90" s="7">
        <f t="shared" si="20"/>
        <v>0</v>
      </c>
      <c r="L90" s="7">
        <f t="shared" si="21"/>
        <v>0</v>
      </c>
      <c r="M90" s="7">
        <f t="shared" si="22"/>
        <v>0</v>
      </c>
      <c r="N90" s="7">
        <f t="shared" si="23"/>
        <v>0</v>
      </c>
      <c r="O90" s="7">
        <f t="shared" si="24"/>
        <v>0</v>
      </c>
      <c r="P90" s="7">
        <f t="shared" si="25"/>
        <v>0</v>
      </c>
      <c r="Q90" s="7"/>
      <c r="R90" s="166" t="e">
        <f t="shared" si="26"/>
        <v>#DIV/0!</v>
      </c>
      <c r="S90" s="166" t="e">
        <f t="shared" si="13"/>
        <v>#DIV/0!</v>
      </c>
      <c r="T90" s="166" t="e">
        <f t="shared" si="13"/>
        <v>#DIV/0!</v>
      </c>
      <c r="U90" s="166" t="e">
        <f t="shared" si="13"/>
        <v>#DIV/0!</v>
      </c>
      <c r="V90" s="166" t="e">
        <f t="shared" si="13"/>
        <v>#DIV/0!</v>
      </c>
    </row>
    <row r="91" spans="1:22" ht="53.25" hidden="1" customHeight="1" x14ac:dyDescent="0.4">
      <c r="A91" s="8" t="s">
        <v>249</v>
      </c>
      <c r="B91" s="45" t="s">
        <v>30</v>
      </c>
      <c r="C91" s="5"/>
      <c r="D91" s="5"/>
      <c r="E91" s="5"/>
      <c r="F91" s="5"/>
      <c r="G91" s="5"/>
      <c r="H91" s="5"/>
      <c r="I91" s="5"/>
      <c r="J91" s="55">
        <v>62.2</v>
      </c>
      <c r="K91" s="7">
        <f t="shared" si="20"/>
        <v>0</v>
      </c>
      <c r="L91" s="7">
        <f t="shared" si="21"/>
        <v>0</v>
      </c>
      <c r="M91" s="7">
        <f t="shared" si="22"/>
        <v>0</v>
      </c>
      <c r="N91" s="7">
        <f t="shared" si="23"/>
        <v>0</v>
      </c>
      <c r="O91" s="7">
        <f t="shared" si="24"/>
        <v>0</v>
      </c>
      <c r="P91" s="7">
        <f t="shared" si="25"/>
        <v>0</v>
      </c>
      <c r="Q91" s="7"/>
      <c r="R91" s="166" t="e">
        <f t="shared" si="26"/>
        <v>#DIV/0!</v>
      </c>
      <c r="S91" s="166" t="e">
        <f t="shared" si="13"/>
        <v>#DIV/0!</v>
      </c>
      <c r="T91" s="166" t="e">
        <f t="shared" si="13"/>
        <v>#DIV/0!</v>
      </c>
      <c r="U91" s="166" t="e">
        <f t="shared" si="13"/>
        <v>#DIV/0!</v>
      </c>
      <c r="V91" s="166" t="e">
        <f t="shared" si="13"/>
        <v>#DIV/0!</v>
      </c>
    </row>
    <row r="92" spans="1:22" ht="26.25" hidden="1" x14ac:dyDescent="0.4">
      <c r="A92" s="8" t="s">
        <v>250</v>
      </c>
      <c r="B92" s="9" t="s">
        <v>30</v>
      </c>
      <c r="C92" s="5"/>
      <c r="D92" s="5"/>
      <c r="E92" s="5"/>
      <c r="F92" s="5"/>
      <c r="G92" s="5"/>
      <c r="H92" s="5"/>
      <c r="I92" s="5"/>
      <c r="J92" s="55">
        <v>20.6</v>
      </c>
      <c r="K92" s="7">
        <f t="shared" si="20"/>
        <v>0</v>
      </c>
      <c r="L92" s="7">
        <f t="shared" si="21"/>
        <v>0</v>
      </c>
      <c r="M92" s="7">
        <f t="shared" si="22"/>
        <v>0</v>
      </c>
      <c r="N92" s="7">
        <f t="shared" si="23"/>
        <v>0</v>
      </c>
      <c r="O92" s="7">
        <f t="shared" si="24"/>
        <v>0</v>
      </c>
      <c r="P92" s="7">
        <f t="shared" si="25"/>
        <v>0</v>
      </c>
      <c r="Q92" s="7"/>
      <c r="R92" s="166" t="e">
        <f t="shared" si="26"/>
        <v>#DIV/0!</v>
      </c>
      <c r="S92" s="166" t="e">
        <f t="shared" si="26"/>
        <v>#DIV/0!</v>
      </c>
      <c r="T92" s="166" t="e">
        <f t="shared" si="26"/>
        <v>#DIV/0!</v>
      </c>
      <c r="U92" s="166" t="e">
        <f t="shared" si="26"/>
        <v>#DIV/0!</v>
      </c>
      <c r="V92" s="166" t="e">
        <f t="shared" si="26"/>
        <v>#DIV/0!</v>
      </c>
    </row>
    <row r="93" spans="1:22" ht="26.25" hidden="1" x14ac:dyDescent="0.4">
      <c r="A93" s="8" t="s">
        <v>251</v>
      </c>
      <c r="B93" s="9" t="s">
        <v>30</v>
      </c>
      <c r="C93" s="5"/>
      <c r="D93" s="5"/>
      <c r="E93" s="5"/>
      <c r="F93" s="5"/>
      <c r="G93" s="5"/>
      <c r="H93" s="5"/>
      <c r="I93" s="5"/>
      <c r="J93" s="55">
        <v>9.57</v>
      </c>
      <c r="K93" s="7">
        <f t="shared" si="20"/>
        <v>0</v>
      </c>
      <c r="L93" s="7">
        <f t="shared" si="21"/>
        <v>0</v>
      </c>
      <c r="M93" s="7">
        <f t="shared" si="22"/>
        <v>0</v>
      </c>
      <c r="N93" s="7">
        <f t="shared" si="23"/>
        <v>0</v>
      </c>
      <c r="O93" s="7">
        <f t="shared" si="24"/>
        <v>0</v>
      </c>
      <c r="P93" s="7">
        <f t="shared" si="25"/>
        <v>0</v>
      </c>
      <c r="Q93" s="7"/>
      <c r="R93" s="166" t="e">
        <f t="shared" si="26"/>
        <v>#DIV/0!</v>
      </c>
      <c r="S93" s="166" t="e">
        <f t="shared" si="26"/>
        <v>#DIV/0!</v>
      </c>
      <c r="T93" s="166" t="e">
        <f t="shared" si="26"/>
        <v>#DIV/0!</v>
      </c>
      <c r="U93" s="166" t="e">
        <f t="shared" si="26"/>
        <v>#DIV/0!</v>
      </c>
      <c r="V93" s="166" t="e">
        <f t="shared" si="26"/>
        <v>#DIV/0!</v>
      </c>
    </row>
    <row r="94" spans="1:22" ht="24.75" hidden="1" customHeight="1" x14ac:dyDescent="0.4">
      <c r="A94" s="8" t="s">
        <v>252</v>
      </c>
      <c r="B94" s="9" t="s">
        <v>30</v>
      </c>
      <c r="C94" s="5"/>
      <c r="D94" s="5"/>
      <c r="E94" s="5"/>
      <c r="F94" s="5"/>
      <c r="G94" s="5"/>
      <c r="H94" s="5"/>
      <c r="I94" s="5"/>
      <c r="J94" s="55">
        <v>5.21</v>
      </c>
      <c r="K94" s="7">
        <f t="shared" si="20"/>
        <v>0</v>
      </c>
      <c r="L94" s="7">
        <f t="shared" si="21"/>
        <v>0</v>
      </c>
      <c r="M94" s="7">
        <f t="shared" si="22"/>
        <v>0</v>
      </c>
      <c r="N94" s="7">
        <f t="shared" si="23"/>
        <v>0</v>
      </c>
      <c r="O94" s="7">
        <f t="shared" si="24"/>
        <v>0</v>
      </c>
      <c r="P94" s="7">
        <f t="shared" si="25"/>
        <v>0</v>
      </c>
      <c r="Q94" s="7"/>
      <c r="R94" s="166" t="e">
        <f t="shared" si="26"/>
        <v>#DIV/0!</v>
      </c>
      <c r="S94" s="166" t="e">
        <f t="shared" si="26"/>
        <v>#DIV/0!</v>
      </c>
      <c r="T94" s="166" t="e">
        <f t="shared" si="26"/>
        <v>#DIV/0!</v>
      </c>
      <c r="U94" s="166" t="e">
        <f t="shared" si="26"/>
        <v>#DIV/0!</v>
      </c>
      <c r="V94" s="166" t="e">
        <f t="shared" si="26"/>
        <v>#DIV/0!</v>
      </c>
    </row>
    <row r="95" spans="1:22" ht="26.25" hidden="1" x14ac:dyDescent="0.4">
      <c r="A95" s="8" t="s">
        <v>253</v>
      </c>
      <c r="B95" s="9" t="s">
        <v>30</v>
      </c>
      <c r="C95" s="5"/>
      <c r="D95" s="5"/>
      <c r="E95" s="5"/>
      <c r="F95" s="5"/>
      <c r="G95" s="5"/>
      <c r="H95" s="5"/>
      <c r="I95" s="5"/>
      <c r="J95" s="55">
        <v>7.25</v>
      </c>
      <c r="K95" s="7">
        <f t="shared" si="20"/>
        <v>0</v>
      </c>
      <c r="L95" s="7">
        <f t="shared" si="21"/>
        <v>0</v>
      </c>
      <c r="M95" s="7">
        <f t="shared" si="22"/>
        <v>0</v>
      </c>
      <c r="N95" s="7">
        <f t="shared" si="23"/>
        <v>0</v>
      </c>
      <c r="O95" s="7">
        <f t="shared" si="24"/>
        <v>0</v>
      </c>
      <c r="P95" s="7">
        <f t="shared" si="25"/>
        <v>0</v>
      </c>
      <c r="Q95" s="7"/>
      <c r="R95" s="166" t="e">
        <f t="shared" si="26"/>
        <v>#DIV/0!</v>
      </c>
      <c r="S95" s="166" t="e">
        <f t="shared" si="26"/>
        <v>#DIV/0!</v>
      </c>
      <c r="T95" s="166" t="e">
        <f t="shared" si="26"/>
        <v>#DIV/0!</v>
      </c>
      <c r="U95" s="166" t="e">
        <f t="shared" si="26"/>
        <v>#DIV/0!</v>
      </c>
      <c r="V95" s="166" t="e">
        <f t="shared" si="26"/>
        <v>#DIV/0!</v>
      </c>
    </row>
    <row r="96" spans="1:22" s="174" customFormat="1" ht="26.25" x14ac:dyDescent="0.4">
      <c r="A96" s="167"/>
      <c r="B96" s="168"/>
      <c r="C96" s="169"/>
      <c r="D96" s="169"/>
      <c r="E96" s="169"/>
      <c r="F96" s="169"/>
      <c r="G96" s="169"/>
      <c r="H96" s="169"/>
      <c r="I96" s="170"/>
      <c r="J96" s="171"/>
      <c r="K96" s="172">
        <f>K76+K77+K81</f>
        <v>72006.415999999997</v>
      </c>
      <c r="L96" s="172">
        <f t="shared" ref="L96:Q96" si="27">L76+L77+L81</f>
        <v>52708.8416</v>
      </c>
      <c r="M96" s="172">
        <f>M76+M77+M81</f>
        <v>68017.415999999997</v>
      </c>
      <c r="N96" s="172">
        <f t="shared" si="27"/>
        <v>78935.072</v>
      </c>
      <c r="O96" s="172">
        <f t="shared" si="27"/>
        <v>76803.825056000001</v>
      </c>
      <c r="P96" s="172">
        <f t="shared" si="27"/>
        <v>78109.490081951983</v>
      </c>
      <c r="Q96" s="172">
        <f t="shared" si="27"/>
        <v>79281.132433181265</v>
      </c>
      <c r="R96" s="173">
        <f>M96/L96*100</f>
        <v>129.04365555246807</v>
      </c>
      <c r="S96" s="173">
        <f t="shared" si="26"/>
        <v>116.05126545824676</v>
      </c>
      <c r="T96" s="173">
        <f t="shared" si="26"/>
        <v>97.3</v>
      </c>
      <c r="U96" s="173">
        <f t="shared" si="26"/>
        <v>101.69999999999997</v>
      </c>
      <c r="V96" s="173">
        <f>Q96/P96*100</f>
        <v>101.50000000000001</v>
      </c>
    </row>
    <row r="97" spans="1:22" ht="29.25" customHeight="1" x14ac:dyDescent="0.4">
      <c r="A97" s="4" t="s">
        <v>254</v>
      </c>
      <c r="B97" s="27"/>
      <c r="C97" s="5"/>
      <c r="D97" s="5"/>
      <c r="E97" s="5"/>
      <c r="F97" s="5"/>
      <c r="G97" s="5"/>
      <c r="H97" s="5"/>
      <c r="I97" s="98"/>
      <c r="J97" s="101"/>
      <c r="K97" s="7"/>
      <c r="L97" s="7"/>
      <c r="M97" s="7"/>
      <c r="N97" s="7"/>
      <c r="O97" s="7"/>
      <c r="P97" s="7"/>
      <c r="Q97" s="7"/>
      <c r="R97" s="27"/>
      <c r="S97" s="27"/>
      <c r="T97" s="27"/>
      <c r="U97" s="27"/>
      <c r="V97" s="27"/>
    </row>
    <row r="98" spans="1:22" ht="52.5" hidden="1" x14ac:dyDescent="0.4">
      <c r="A98" s="8" t="s">
        <v>255</v>
      </c>
      <c r="B98" s="9" t="s">
        <v>261</v>
      </c>
      <c r="C98" s="5"/>
      <c r="D98" s="5"/>
      <c r="E98" s="5"/>
      <c r="F98" s="5"/>
      <c r="G98" s="5"/>
      <c r="H98" s="5"/>
      <c r="I98" s="5"/>
      <c r="J98" s="55">
        <v>747.6</v>
      </c>
      <c r="K98" s="7">
        <f t="shared" si="20"/>
        <v>0</v>
      </c>
      <c r="L98" s="7">
        <f t="shared" si="21"/>
        <v>0</v>
      </c>
      <c r="M98" s="7">
        <f t="shared" si="22"/>
        <v>0</v>
      </c>
      <c r="N98" s="7">
        <f t="shared" si="23"/>
        <v>0</v>
      </c>
      <c r="O98" s="7">
        <f t="shared" si="24"/>
        <v>0</v>
      </c>
      <c r="P98" s="7">
        <f t="shared" si="25"/>
        <v>0</v>
      </c>
      <c r="Q98" s="7"/>
      <c r="R98" s="27"/>
      <c r="S98" s="27"/>
      <c r="T98" s="27"/>
      <c r="U98" s="27"/>
      <c r="V98" s="27"/>
    </row>
    <row r="99" spans="1:22" ht="52.5" hidden="1" x14ac:dyDescent="0.4">
      <c r="A99" s="8" t="s">
        <v>256</v>
      </c>
      <c r="B99" s="9" t="s">
        <v>261</v>
      </c>
      <c r="C99" s="5"/>
      <c r="D99" s="5"/>
      <c r="E99" s="5"/>
      <c r="F99" s="5"/>
      <c r="G99" s="5"/>
      <c r="H99" s="5"/>
      <c r="I99" s="5"/>
      <c r="J99" s="55">
        <v>134.16</v>
      </c>
      <c r="K99" s="7">
        <f t="shared" si="20"/>
        <v>0</v>
      </c>
      <c r="L99" s="7">
        <f t="shared" si="21"/>
        <v>0</v>
      </c>
      <c r="M99" s="7">
        <f t="shared" si="22"/>
        <v>0</v>
      </c>
      <c r="N99" s="7">
        <f t="shared" si="23"/>
        <v>0</v>
      </c>
      <c r="O99" s="7">
        <f t="shared" si="24"/>
        <v>0</v>
      </c>
      <c r="P99" s="7">
        <f t="shared" si="25"/>
        <v>0</v>
      </c>
      <c r="Q99" s="7"/>
      <c r="R99" s="27"/>
      <c r="S99" s="27"/>
      <c r="T99" s="27"/>
      <c r="U99" s="27"/>
      <c r="V99" s="27"/>
    </row>
    <row r="100" spans="1:22" ht="30" hidden="1" customHeight="1" x14ac:dyDescent="0.4">
      <c r="A100" s="8" t="s">
        <v>257</v>
      </c>
      <c r="B100" s="45" t="s">
        <v>30</v>
      </c>
      <c r="C100" s="5"/>
      <c r="D100" s="5"/>
      <c r="E100" s="5"/>
      <c r="F100" s="5"/>
      <c r="G100" s="5"/>
      <c r="H100" s="5"/>
      <c r="I100" s="5"/>
      <c r="J100" s="55">
        <v>115.5</v>
      </c>
      <c r="K100" s="7">
        <f t="shared" si="20"/>
        <v>0</v>
      </c>
      <c r="L100" s="7">
        <f t="shared" si="21"/>
        <v>0</v>
      </c>
      <c r="M100" s="7">
        <f t="shared" si="22"/>
        <v>0</v>
      </c>
      <c r="N100" s="7">
        <f t="shared" si="23"/>
        <v>0</v>
      </c>
      <c r="O100" s="7">
        <f t="shared" si="24"/>
        <v>0</v>
      </c>
      <c r="P100" s="7">
        <f t="shared" si="25"/>
        <v>0</v>
      </c>
      <c r="Q100" s="7"/>
      <c r="R100" s="27"/>
      <c r="S100" s="27"/>
      <c r="T100" s="27"/>
      <c r="U100" s="27"/>
      <c r="V100" s="27"/>
    </row>
    <row r="101" spans="1:22" ht="52.5" hidden="1" x14ac:dyDescent="0.4">
      <c r="A101" s="8" t="s">
        <v>258</v>
      </c>
      <c r="B101" s="9" t="s">
        <v>262</v>
      </c>
      <c r="C101" s="5"/>
      <c r="D101" s="5"/>
      <c r="E101" s="5"/>
      <c r="F101" s="5"/>
      <c r="G101" s="5"/>
      <c r="H101" s="5"/>
      <c r="I101" s="5"/>
      <c r="J101" s="55">
        <v>4.7</v>
      </c>
      <c r="K101" s="7">
        <f t="shared" si="20"/>
        <v>0</v>
      </c>
      <c r="L101" s="7">
        <f t="shared" si="21"/>
        <v>0</v>
      </c>
      <c r="M101" s="7">
        <f t="shared" si="22"/>
        <v>0</v>
      </c>
      <c r="N101" s="7">
        <f t="shared" si="23"/>
        <v>0</v>
      </c>
      <c r="O101" s="7">
        <f t="shared" si="24"/>
        <v>0</v>
      </c>
      <c r="P101" s="7">
        <f t="shared" si="25"/>
        <v>0</v>
      </c>
      <c r="Q101" s="7"/>
      <c r="R101" s="27"/>
      <c r="S101" s="27"/>
      <c r="T101" s="27"/>
      <c r="U101" s="27"/>
      <c r="V101" s="27"/>
    </row>
    <row r="102" spans="1:22" ht="115.5" customHeight="1" x14ac:dyDescent="0.4">
      <c r="A102" s="8" t="s">
        <v>259</v>
      </c>
      <c r="B102" s="9" t="s">
        <v>261</v>
      </c>
      <c r="C102" s="13">
        <v>3183.1875</v>
      </c>
      <c r="D102" s="282">
        <v>3719.3</v>
      </c>
      <c r="E102" s="282">
        <v>4219.067</v>
      </c>
      <c r="F102" s="282">
        <v>3971.7</v>
      </c>
      <c r="G102" s="282">
        <v>4282.5</v>
      </c>
      <c r="H102" s="282">
        <v>4290</v>
      </c>
      <c r="I102" s="282">
        <v>4307.5</v>
      </c>
      <c r="J102" s="55">
        <v>4.7</v>
      </c>
      <c r="K102" s="7">
        <f>C102*J102</f>
        <v>14960.981250000001</v>
      </c>
      <c r="L102" s="7">
        <f>D102*$J$102</f>
        <v>17480.710000000003</v>
      </c>
      <c r="M102" s="7">
        <f>E102*$J$102</f>
        <v>19829.6149</v>
      </c>
      <c r="N102" s="7">
        <f>F102*$J$102</f>
        <v>18666.990000000002</v>
      </c>
      <c r="O102" s="7">
        <f t="shared" ref="O102:Q102" si="28">G102*$J$102</f>
        <v>20127.75</v>
      </c>
      <c r="P102" s="7">
        <f t="shared" si="28"/>
        <v>20163</v>
      </c>
      <c r="Q102" s="7">
        <f t="shared" si="28"/>
        <v>20245.25</v>
      </c>
      <c r="R102" s="166">
        <f>M102/L102*100</f>
        <v>113.43712526550694</v>
      </c>
      <c r="S102" s="166">
        <f t="shared" ref="S102:V103" si="29">N102/M102*100</f>
        <v>94.136926481613131</v>
      </c>
      <c r="T102" s="166">
        <f t="shared" si="29"/>
        <v>107.82536445350857</v>
      </c>
      <c r="U102" s="166">
        <f t="shared" si="29"/>
        <v>100.1751313485114</v>
      </c>
      <c r="V102" s="166">
        <f t="shared" si="29"/>
        <v>100.4079254079254</v>
      </c>
    </row>
    <row r="103" spans="1:22" ht="40.5" customHeight="1" x14ac:dyDescent="0.4">
      <c r="A103" s="32" t="s">
        <v>31</v>
      </c>
      <c r="B103" s="48" t="s">
        <v>55</v>
      </c>
      <c r="C103" s="14" t="s">
        <v>55</v>
      </c>
      <c r="D103" s="14" t="s">
        <v>55</v>
      </c>
      <c r="E103" s="14" t="s">
        <v>55</v>
      </c>
      <c r="F103" s="14"/>
      <c r="G103" s="14" t="s">
        <v>55</v>
      </c>
      <c r="H103" s="14"/>
      <c r="I103" s="14"/>
      <c r="J103" s="57" t="s">
        <v>55</v>
      </c>
      <c r="K103" s="15">
        <f>K102+K96</f>
        <v>86967.397249999995</v>
      </c>
      <c r="L103" s="15">
        <f>L102+L96</f>
        <v>70189.551600000006</v>
      </c>
      <c r="M103" s="15">
        <f t="shared" ref="M103:Q103" si="30">M102+M96</f>
        <v>87847.030899999998</v>
      </c>
      <c r="N103" s="15">
        <f>N102+N96</f>
        <v>97602.062000000005</v>
      </c>
      <c r="O103" s="15">
        <f t="shared" si="30"/>
        <v>96931.575056000001</v>
      </c>
      <c r="P103" s="15">
        <f t="shared" si="30"/>
        <v>98272.490081951983</v>
      </c>
      <c r="Q103" s="15">
        <f t="shared" si="30"/>
        <v>99526.382433181265</v>
      </c>
      <c r="R103" s="173">
        <f>M103/L103*100</f>
        <v>125.15684870111066</v>
      </c>
      <c r="S103" s="173">
        <f>N103/M103*100</f>
        <v>111.10456551582782</v>
      </c>
      <c r="T103" s="173">
        <f>O103/N103*100</f>
        <v>99.31304018556493</v>
      </c>
      <c r="U103" s="173">
        <f t="shared" si="29"/>
        <v>101.38336246489061</v>
      </c>
      <c r="V103" s="173">
        <f t="shared" si="29"/>
        <v>101.27593424180421</v>
      </c>
    </row>
    <row r="104" spans="1:22" ht="27" customHeight="1" x14ac:dyDescent="0.2">
      <c r="A104" s="346" t="s">
        <v>263</v>
      </c>
      <c r="B104" s="347"/>
      <c r="C104" s="347"/>
      <c r="D104" s="347"/>
      <c r="E104" s="347"/>
      <c r="F104" s="347"/>
      <c r="G104" s="347"/>
      <c r="H104" s="347"/>
      <c r="I104" s="347"/>
      <c r="J104" s="347"/>
      <c r="K104" s="347"/>
      <c r="L104" s="347"/>
      <c r="M104" s="347"/>
      <c r="N104" s="347"/>
      <c r="O104" s="347"/>
      <c r="P104" s="347"/>
      <c r="Q104" s="347"/>
      <c r="R104" s="347"/>
      <c r="S104" s="347"/>
      <c r="T104" s="347"/>
      <c r="U104" s="347"/>
      <c r="V104" s="347"/>
    </row>
    <row r="105" spans="1:22" ht="57.75" hidden="1" customHeight="1" x14ac:dyDescent="0.4">
      <c r="A105" s="18" t="s">
        <v>269</v>
      </c>
      <c r="B105" s="9" t="s">
        <v>270</v>
      </c>
      <c r="C105" s="5"/>
      <c r="D105" s="5"/>
      <c r="E105" s="5"/>
      <c r="F105" s="5"/>
      <c r="G105" s="5"/>
      <c r="H105" s="5"/>
      <c r="I105" s="5"/>
      <c r="J105" s="55">
        <v>945.2</v>
      </c>
      <c r="K105" s="7"/>
      <c r="L105" s="7"/>
      <c r="M105" s="7"/>
      <c r="N105" s="7"/>
      <c r="O105" s="7"/>
      <c r="P105" s="7"/>
      <c r="Q105" s="7"/>
      <c r="R105" s="27"/>
      <c r="S105" s="27"/>
      <c r="T105" s="27"/>
      <c r="U105" s="27"/>
      <c r="V105" s="27"/>
    </row>
    <row r="106" spans="1:22" ht="48.75" customHeight="1" x14ac:dyDescent="0.4">
      <c r="A106" s="8" t="s">
        <v>266</v>
      </c>
      <c r="B106" s="9" t="s">
        <v>48</v>
      </c>
      <c r="C106" s="13">
        <v>176.79</v>
      </c>
      <c r="D106" s="282">
        <v>182.80699999999999</v>
      </c>
      <c r="E106" s="282">
        <v>210</v>
      </c>
      <c r="F106" s="282">
        <v>210</v>
      </c>
      <c r="G106" s="13">
        <f>F106*$G$10</f>
        <v>204.32999999999998</v>
      </c>
      <c r="H106" s="13">
        <f>G106*$H$10</f>
        <v>207.80360999999996</v>
      </c>
      <c r="I106" s="13">
        <f>H106*$I$10</f>
        <v>210.92066414999994</v>
      </c>
      <c r="J106" s="55">
        <v>1700.21</v>
      </c>
      <c r="K106" s="7">
        <f>C106*J106</f>
        <v>300580.12589999998</v>
      </c>
      <c r="L106" s="7">
        <f>D106*$J$106</f>
        <v>310810.28946999996</v>
      </c>
      <c r="M106" s="7">
        <f>E106*$J$106</f>
        <v>357044.10000000003</v>
      </c>
      <c r="N106" s="7">
        <f t="shared" ref="N106:P106" si="31">F106*$J$106</f>
        <v>357044.10000000003</v>
      </c>
      <c r="O106" s="7">
        <f t="shared" si="31"/>
        <v>347403.9093</v>
      </c>
      <c r="P106" s="7">
        <f t="shared" si="31"/>
        <v>353309.77575809992</v>
      </c>
      <c r="Q106" s="7">
        <f>I106*$J$106</f>
        <v>358609.42239447142</v>
      </c>
      <c r="R106" s="166">
        <f>M106/L106*100</f>
        <v>114.87525094772084</v>
      </c>
      <c r="S106" s="166">
        <f t="shared" ref="S106:V111" si="32">N106/M106*100</f>
        <v>100</v>
      </c>
      <c r="T106" s="166">
        <f t="shared" si="32"/>
        <v>97.299999999999983</v>
      </c>
      <c r="U106" s="166">
        <f t="shared" si="32"/>
        <v>101.69999999999997</v>
      </c>
      <c r="V106" s="166">
        <f>Q106/P106*100</f>
        <v>101.49999999999999</v>
      </c>
    </row>
    <row r="107" spans="1:22" ht="54" customHeight="1" x14ac:dyDescent="0.4">
      <c r="A107" s="18" t="s">
        <v>267</v>
      </c>
      <c r="B107" s="9" t="s">
        <v>270</v>
      </c>
      <c r="C107" s="13">
        <v>192.50899999999999</v>
      </c>
      <c r="D107" s="282">
        <v>157.62299999999999</v>
      </c>
      <c r="E107" s="282">
        <v>151.19</v>
      </c>
      <c r="F107" s="282">
        <v>151.19</v>
      </c>
      <c r="G107" s="13">
        <f t="shared" ref="G107:G109" si="33">F107*$G$10</f>
        <v>147.10786999999999</v>
      </c>
      <c r="H107" s="13">
        <f t="shared" ref="H107:H109" si="34">G107*$H$10</f>
        <v>149.60870378999996</v>
      </c>
      <c r="I107" s="13">
        <f t="shared" ref="I107:I109" si="35">H107*$I$10</f>
        <v>151.85283434684996</v>
      </c>
      <c r="J107" s="55">
        <v>501.51</v>
      </c>
      <c r="K107" s="7">
        <f>C107*J107</f>
        <v>96545.188589999991</v>
      </c>
      <c r="L107" s="7">
        <f>D107*J107</f>
        <v>79049.510729999995</v>
      </c>
      <c r="M107" s="7">
        <f>E107*J107</f>
        <v>75823.296900000001</v>
      </c>
      <c r="N107" s="7">
        <f>F107*J107</f>
        <v>75823.296900000001</v>
      </c>
      <c r="O107" s="7">
        <f>G107*J107</f>
        <v>73776.067883700001</v>
      </c>
      <c r="P107" s="7">
        <f>H107*J107</f>
        <v>75030.261037722885</v>
      </c>
      <c r="Q107" s="7">
        <f>I107*J107</f>
        <v>76155.714953288727</v>
      </c>
      <c r="R107" s="166">
        <f>M107/L107*100</f>
        <v>95.918742823065173</v>
      </c>
      <c r="S107" s="166">
        <f t="shared" si="32"/>
        <v>100</v>
      </c>
      <c r="T107" s="166">
        <f t="shared" si="32"/>
        <v>97.3</v>
      </c>
      <c r="U107" s="166">
        <f t="shared" si="32"/>
        <v>101.69999999999997</v>
      </c>
      <c r="V107" s="166">
        <f t="shared" si="32"/>
        <v>101.49999999999999</v>
      </c>
    </row>
    <row r="108" spans="1:22" ht="52.5" hidden="1" customHeight="1" x14ac:dyDescent="0.4">
      <c r="A108" s="8" t="s">
        <v>268</v>
      </c>
      <c r="B108" s="9" t="s">
        <v>270</v>
      </c>
      <c r="C108" s="13"/>
      <c r="D108" s="282"/>
      <c r="E108" s="282"/>
      <c r="F108" s="282"/>
      <c r="G108" s="13">
        <f t="shared" si="33"/>
        <v>0</v>
      </c>
      <c r="H108" s="13">
        <f t="shared" si="34"/>
        <v>0</v>
      </c>
      <c r="I108" s="13">
        <f t="shared" si="35"/>
        <v>0</v>
      </c>
      <c r="J108" s="55">
        <v>444.92</v>
      </c>
      <c r="K108" s="7">
        <f t="shared" ref="K108" si="36">C108*J108</f>
        <v>0</v>
      </c>
      <c r="L108" s="7">
        <f t="shared" ref="L108" si="37">D108*J108</f>
        <v>0</v>
      </c>
      <c r="M108" s="7">
        <f t="shared" ref="M108" si="38">E108*J108</f>
        <v>0</v>
      </c>
      <c r="N108" s="7">
        <f t="shared" ref="N108:N109" si="39">F108*J108</f>
        <v>0</v>
      </c>
      <c r="O108" s="7">
        <f t="shared" ref="O108:O109" si="40">G108*J108</f>
        <v>0</v>
      </c>
      <c r="P108" s="7">
        <f t="shared" ref="P108:P109" si="41">H108*J108</f>
        <v>0</v>
      </c>
      <c r="Q108" s="7">
        <f t="shared" ref="Q108:Q109" si="42">I108*J108</f>
        <v>0</v>
      </c>
      <c r="R108" s="166" t="e">
        <f t="shared" ref="R108" si="43">M108/L108*100</f>
        <v>#DIV/0!</v>
      </c>
      <c r="S108" s="166" t="e">
        <f t="shared" si="32"/>
        <v>#DIV/0!</v>
      </c>
      <c r="T108" s="166" t="e">
        <f t="shared" si="32"/>
        <v>#DIV/0!</v>
      </c>
      <c r="U108" s="166" t="e">
        <f t="shared" si="32"/>
        <v>#DIV/0!</v>
      </c>
      <c r="V108" s="166" t="e">
        <f t="shared" si="32"/>
        <v>#DIV/0!</v>
      </c>
    </row>
    <row r="109" spans="1:22" ht="57.75" customHeight="1" x14ac:dyDescent="0.4">
      <c r="A109" s="18" t="s">
        <v>269</v>
      </c>
      <c r="B109" s="9" t="s">
        <v>270</v>
      </c>
      <c r="C109" s="13">
        <v>141.523</v>
      </c>
      <c r="D109" s="282">
        <v>128.80500000000001</v>
      </c>
      <c r="E109" s="282">
        <v>113.542</v>
      </c>
      <c r="F109" s="282">
        <v>125.22</v>
      </c>
      <c r="G109" s="13">
        <f t="shared" si="33"/>
        <v>121.83905999999999</v>
      </c>
      <c r="H109" s="13">
        <f t="shared" si="34"/>
        <v>123.91032401999998</v>
      </c>
      <c r="I109" s="13">
        <f t="shared" si="35"/>
        <v>125.76897888029997</v>
      </c>
      <c r="J109" s="55">
        <v>945.2</v>
      </c>
      <c r="K109" s="7">
        <f>C109*J109</f>
        <v>133767.53959999999</v>
      </c>
      <c r="L109" s="7">
        <f>D109*J109</f>
        <v>121746.48600000002</v>
      </c>
      <c r="M109" s="7">
        <f>E109*J109</f>
        <v>107319.89840000001</v>
      </c>
      <c r="N109" s="7">
        <f t="shared" si="39"/>
        <v>118357.944</v>
      </c>
      <c r="O109" s="7">
        <f t="shared" si="40"/>
        <v>115162.27951199999</v>
      </c>
      <c r="P109" s="7">
        <f t="shared" si="41"/>
        <v>117120.03826370399</v>
      </c>
      <c r="Q109" s="7">
        <f t="shared" si="42"/>
        <v>118876.83883765954</v>
      </c>
      <c r="R109" s="166">
        <f>M109/L109*100</f>
        <v>88.150304724195479</v>
      </c>
      <c r="S109" s="166">
        <f t="shared" si="32"/>
        <v>110.28518081414806</v>
      </c>
      <c r="T109" s="166">
        <f t="shared" si="32"/>
        <v>97.3</v>
      </c>
      <c r="U109" s="166">
        <f t="shared" si="32"/>
        <v>101.69999999999999</v>
      </c>
      <c r="V109" s="166">
        <f t="shared" si="32"/>
        <v>101.49999999999999</v>
      </c>
    </row>
    <row r="110" spans="1:22" ht="26.25" customHeight="1" x14ac:dyDescent="0.4">
      <c r="A110" s="102" t="s">
        <v>31</v>
      </c>
      <c r="B110" s="97"/>
      <c r="C110" s="98"/>
      <c r="D110" s="98"/>
      <c r="E110" s="98"/>
      <c r="F110" s="98"/>
      <c r="G110" s="98"/>
      <c r="H110" s="98"/>
      <c r="I110" s="98"/>
      <c r="J110" s="99"/>
      <c r="K110" s="100">
        <f>SUM(K106:K109)</f>
        <v>530892.85408999992</v>
      </c>
      <c r="L110" s="100">
        <f>SUM(L106:L109)</f>
        <v>511606.28619999997</v>
      </c>
      <c r="M110" s="100">
        <f>SUM(M106:M109)</f>
        <v>540187.29530000011</v>
      </c>
      <c r="N110" s="100">
        <f t="shared" ref="N110:O110" si="44">SUM(N106:N109)</f>
        <v>551225.34090000007</v>
      </c>
      <c r="O110" s="100">
        <f t="shared" si="44"/>
        <v>536342.25669569999</v>
      </c>
      <c r="P110" s="100">
        <f>SUM(P106:P109)</f>
        <v>545460.07505952683</v>
      </c>
      <c r="Q110" s="100">
        <f>SUM(Q106:Q109)</f>
        <v>553641.97618541971</v>
      </c>
      <c r="R110" s="173">
        <f>M110/L110*100</f>
        <v>105.58652422203177</v>
      </c>
      <c r="S110" s="173">
        <f t="shared" si="32"/>
        <v>102.04337378832093</v>
      </c>
      <c r="T110" s="173">
        <f t="shared" si="32"/>
        <v>97.299999999999983</v>
      </c>
      <c r="U110" s="173">
        <f t="shared" si="32"/>
        <v>101.69999999999999</v>
      </c>
      <c r="V110" s="173">
        <f t="shared" si="32"/>
        <v>101.49999999999999</v>
      </c>
    </row>
    <row r="111" spans="1:22" ht="71.25" customHeight="1" x14ac:dyDescent="0.4">
      <c r="A111" s="33" t="s">
        <v>271</v>
      </c>
      <c r="B111" s="14" t="s">
        <v>55</v>
      </c>
      <c r="C111" s="14" t="s">
        <v>55</v>
      </c>
      <c r="D111" s="14" t="s">
        <v>55</v>
      </c>
      <c r="E111" s="14" t="s">
        <v>55</v>
      </c>
      <c r="F111" s="14"/>
      <c r="G111" s="14" t="s">
        <v>55</v>
      </c>
      <c r="H111" s="14"/>
      <c r="I111" s="14"/>
      <c r="J111" s="108" t="s">
        <v>55</v>
      </c>
      <c r="K111" s="15">
        <f>K20+K103+K110</f>
        <v>2365901.1541399998</v>
      </c>
      <c r="L111" s="15">
        <f t="shared" ref="L111:O111" si="45">L20+L103+L110</f>
        <v>2357822.6686</v>
      </c>
      <c r="M111" s="15">
        <f t="shared" si="45"/>
        <v>2710425.0758000007</v>
      </c>
      <c r="N111" s="15">
        <f t="shared" si="45"/>
        <v>2600262.0288999998</v>
      </c>
      <c r="O111" s="15">
        <f t="shared" si="45"/>
        <v>2532019.7228496997</v>
      </c>
      <c r="P111" s="15">
        <f>P20+P103+P110</f>
        <v>2574757.1363881454</v>
      </c>
      <c r="Q111" s="15">
        <f>Q20+Q103+Q110</f>
        <v>2613158.2984339669</v>
      </c>
      <c r="R111" s="173">
        <f t="shared" ref="R111" si="46">M111/L111*100</f>
        <v>114.95457702972058</v>
      </c>
      <c r="S111" s="173">
        <f t="shared" si="32"/>
        <v>95.935580441474272</v>
      </c>
      <c r="T111" s="173">
        <f t="shared" si="32"/>
        <v>97.375560413072336</v>
      </c>
      <c r="U111" s="173">
        <f t="shared" si="32"/>
        <v>101.68787838233528</v>
      </c>
      <c r="V111" s="173">
        <f>Q111/P111*100</f>
        <v>101.49144793126743</v>
      </c>
    </row>
    <row r="112" spans="1:22" ht="27" hidden="1" x14ac:dyDescent="0.35">
      <c r="A112" s="348" t="s">
        <v>272</v>
      </c>
      <c r="B112" s="349"/>
      <c r="C112" s="349"/>
      <c r="D112" s="349"/>
      <c r="E112" s="349"/>
      <c r="F112" s="349"/>
      <c r="G112" s="349"/>
      <c r="H112" s="349"/>
      <c r="I112" s="349"/>
      <c r="J112" s="349"/>
      <c r="K112" s="349"/>
      <c r="L112" s="349"/>
      <c r="M112" s="349"/>
      <c r="N112" s="349"/>
      <c r="O112" s="349"/>
      <c r="P112" s="349"/>
      <c r="Q112" s="349"/>
      <c r="R112" s="349"/>
      <c r="S112" s="349"/>
      <c r="T112" s="349"/>
      <c r="U112" s="349"/>
      <c r="V112" s="349"/>
    </row>
    <row r="113" spans="1:24" ht="26.25" hidden="1" x14ac:dyDescent="0.4">
      <c r="A113" s="16" t="s">
        <v>35</v>
      </c>
      <c r="B113" s="44" t="s">
        <v>30</v>
      </c>
      <c r="C113" s="2"/>
      <c r="D113" s="2"/>
      <c r="E113" s="2"/>
      <c r="F113" s="2"/>
      <c r="G113" s="2"/>
      <c r="H113" s="2"/>
      <c r="I113" s="2"/>
      <c r="J113" s="54" t="s">
        <v>52</v>
      </c>
      <c r="K113" s="17"/>
      <c r="L113" s="17"/>
      <c r="M113" s="17"/>
      <c r="N113" s="17"/>
      <c r="O113" s="17"/>
      <c r="P113" s="17"/>
      <c r="Q113" s="17"/>
      <c r="R113" s="29"/>
      <c r="S113" s="29"/>
      <c r="T113" s="29"/>
      <c r="U113" s="29"/>
      <c r="V113" s="29"/>
    </row>
    <row r="114" spans="1:24" ht="26.25" hidden="1" x14ac:dyDescent="0.4">
      <c r="A114" s="38" t="s">
        <v>36</v>
      </c>
      <c r="B114" s="45" t="s">
        <v>30</v>
      </c>
      <c r="C114" s="5"/>
      <c r="D114" s="5"/>
      <c r="E114" s="5"/>
      <c r="F114" s="5"/>
      <c r="G114" s="5"/>
      <c r="H114" s="5"/>
      <c r="I114" s="5"/>
      <c r="J114" s="55" t="s">
        <v>53</v>
      </c>
      <c r="K114" s="19"/>
      <c r="L114" s="19"/>
      <c r="M114" s="19"/>
      <c r="N114" s="19"/>
      <c r="O114" s="19"/>
      <c r="P114" s="19"/>
      <c r="Q114" s="19"/>
      <c r="R114" s="30"/>
      <c r="S114" s="30"/>
      <c r="T114" s="30"/>
      <c r="U114" s="30"/>
      <c r="V114" s="30"/>
    </row>
    <row r="115" spans="1:24" ht="26.25" hidden="1" x14ac:dyDescent="0.4">
      <c r="A115" s="18" t="s">
        <v>37</v>
      </c>
      <c r="B115" s="45" t="s">
        <v>30</v>
      </c>
      <c r="C115" s="5"/>
      <c r="D115" s="5"/>
      <c r="E115" s="5"/>
      <c r="F115" s="5"/>
      <c r="G115" s="5"/>
      <c r="H115" s="5"/>
      <c r="I115" s="5"/>
      <c r="J115" s="55" t="s">
        <v>54</v>
      </c>
      <c r="K115" s="19"/>
      <c r="L115" s="19"/>
      <c r="M115" s="19"/>
      <c r="N115" s="19"/>
      <c r="O115" s="19"/>
      <c r="P115" s="19"/>
      <c r="Q115" s="19"/>
      <c r="R115" s="30"/>
      <c r="S115" s="30"/>
      <c r="T115" s="30"/>
      <c r="U115" s="30"/>
      <c r="V115" s="30"/>
    </row>
    <row r="116" spans="1:24" ht="26.25" hidden="1" x14ac:dyDescent="0.4">
      <c r="A116" s="18" t="s">
        <v>38</v>
      </c>
      <c r="B116" s="45" t="s">
        <v>30</v>
      </c>
      <c r="C116" s="5"/>
      <c r="D116" s="5"/>
      <c r="E116" s="5"/>
      <c r="F116" s="5"/>
      <c r="G116" s="5"/>
      <c r="H116" s="5"/>
      <c r="I116" s="5"/>
      <c r="J116" s="55" t="s">
        <v>49</v>
      </c>
      <c r="K116" s="19"/>
      <c r="L116" s="19"/>
      <c r="M116" s="19"/>
      <c r="N116" s="19"/>
      <c r="O116" s="19"/>
      <c r="P116" s="19"/>
      <c r="Q116" s="19"/>
      <c r="R116" s="30"/>
      <c r="S116" s="30"/>
      <c r="T116" s="30"/>
      <c r="U116" s="30"/>
      <c r="V116" s="30"/>
    </row>
    <row r="117" spans="1:24" ht="26.25" hidden="1" x14ac:dyDescent="0.4">
      <c r="A117" s="18" t="s">
        <v>39</v>
      </c>
      <c r="B117" s="45" t="s">
        <v>30</v>
      </c>
      <c r="C117" s="5"/>
      <c r="D117" s="5"/>
      <c r="E117" s="5"/>
      <c r="F117" s="5"/>
      <c r="G117" s="5"/>
      <c r="H117" s="5"/>
      <c r="I117" s="5"/>
      <c r="J117" s="55" t="s">
        <v>51</v>
      </c>
      <c r="K117" s="19"/>
      <c r="L117" s="19"/>
      <c r="M117" s="19"/>
      <c r="N117" s="19"/>
      <c r="O117" s="19"/>
      <c r="P117" s="19"/>
      <c r="Q117" s="19"/>
      <c r="R117" s="30"/>
      <c r="S117" s="30"/>
      <c r="T117" s="30"/>
      <c r="U117" s="30"/>
      <c r="V117" s="30"/>
    </row>
    <row r="118" spans="1:24" ht="26.25" hidden="1" x14ac:dyDescent="0.4">
      <c r="A118" s="18" t="s">
        <v>40</v>
      </c>
      <c r="B118" s="45" t="s">
        <v>33</v>
      </c>
      <c r="C118" s="5"/>
      <c r="D118" s="5"/>
      <c r="E118" s="5"/>
      <c r="F118" s="5"/>
      <c r="G118" s="5"/>
      <c r="H118" s="5"/>
      <c r="I118" s="5"/>
      <c r="J118" s="55" t="s">
        <v>50</v>
      </c>
      <c r="K118" s="19"/>
      <c r="L118" s="19"/>
      <c r="M118" s="19"/>
      <c r="N118" s="19"/>
      <c r="O118" s="19"/>
      <c r="P118" s="19"/>
      <c r="Q118" s="19"/>
      <c r="R118" s="30"/>
      <c r="S118" s="30"/>
      <c r="T118" s="30"/>
      <c r="U118" s="30"/>
      <c r="V118" s="30"/>
    </row>
    <row r="119" spans="1:24" ht="27.75" hidden="1" x14ac:dyDescent="0.4">
      <c r="A119" s="32" t="s">
        <v>31</v>
      </c>
      <c r="B119" s="48" t="s">
        <v>55</v>
      </c>
      <c r="C119" s="14"/>
      <c r="D119" s="14"/>
      <c r="E119" s="14"/>
      <c r="F119" s="14"/>
      <c r="G119" s="14" t="s">
        <v>55</v>
      </c>
      <c r="H119" s="14"/>
      <c r="I119" s="14"/>
      <c r="J119" s="57" t="s">
        <v>55</v>
      </c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</row>
    <row r="120" spans="1:24" ht="27.75" x14ac:dyDescent="0.4">
      <c r="A120" s="34"/>
      <c r="B120" s="49"/>
      <c r="C120" s="23"/>
      <c r="D120" s="23"/>
      <c r="E120" s="23"/>
      <c r="F120" s="23"/>
      <c r="G120" s="23"/>
      <c r="H120" s="23"/>
      <c r="I120" s="23"/>
      <c r="J120" s="58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</row>
    <row r="121" spans="1:24" ht="26.25" x14ac:dyDescent="0.4">
      <c r="A121" s="338" t="s">
        <v>57</v>
      </c>
      <c r="B121" s="339"/>
      <c r="C121" s="339"/>
      <c r="D121" s="339"/>
      <c r="E121" s="339"/>
      <c r="F121" s="339"/>
      <c r="G121" s="339"/>
      <c r="H121" s="339"/>
      <c r="I121" s="339"/>
      <c r="J121" s="339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</row>
    <row r="122" spans="1:24" ht="26.25" x14ac:dyDescent="0.4">
      <c r="A122" s="35" t="s">
        <v>274</v>
      </c>
      <c r="B122" s="50"/>
      <c r="C122" s="36"/>
      <c r="D122" s="36"/>
      <c r="E122" s="36"/>
      <c r="F122" s="36"/>
      <c r="G122" s="36"/>
      <c r="H122" s="36"/>
      <c r="I122" s="36"/>
      <c r="J122" s="59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</row>
    <row r="123" spans="1:24" ht="57.75" customHeight="1" x14ac:dyDescent="0.2">
      <c r="A123" s="340" t="s">
        <v>59</v>
      </c>
      <c r="B123" s="340"/>
      <c r="C123" s="340"/>
      <c r="D123" s="340"/>
      <c r="E123" s="340"/>
      <c r="F123" s="340"/>
      <c r="G123" s="340"/>
      <c r="H123" s="340"/>
      <c r="I123" s="340"/>
      <c r="J123" s="340"/>
      <c r="K123" s="340"/>
      <c r="L123" s="340"/>
      <c r="M123" s="340"/>
      <c r="N123" s="340"/>
      <c r="O123" s="340"/>
      <c r="P123" s="340"/>
      <c r="Q123" s="340"/>
      <c r="R123" s="340"/>
      <c r="S123" s="340"/>
      <c r="T123" s="340"/>
      <c r="U123" s="340"/>
      <c r="V123" s="129"/>
    </row>
    <row r="124" spans="1:24" ht="20.25" x14ac:dyDescent="0.3">
      <c r="A124" s="25"/>
      <c r="B124" s="51"/>
      <c r="C124" s="20"/>
      <c r="D124" s="20"/>
      <c r="E124" s="20"/>
      <c r="F124" s="20"/>
      <c r="G124" s="20"/>
      <c r="H124" s="20"/>
      <c r="I124" s="20"/>
      <c r="J124" s="60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</row>
    <row r="125" spans="1:24" ht="20.25" x14ac:dyDescent="0.3">
      <c r="A125" s="20"/>
      <c r="B125" s="51"/>
      <c r="C125" s="20"/>
      <c r="D125" s="20"/>
      <c r="E125" s="20"/>
      <c r="F125" s="20"/>
      <c r="G125" s="20"/>
      <c r="H125" s="20"/>
      <c r="I125" s="20"/>
      <c r="J125" s="60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</row>
    <row r="126" spans="1:24" ht="20.25" x14ac:dyDescent="0.3">
      <c r="A126" s="20"/>
      <c r="B126" s="51"/>
      <c r="C126" s="20"/>
      <c r="D126" s="20"/>
      <c r="E126" s="20"/>
      <c r="F126" s="20"/>
      <c r="G126" s="20"/>
      <c r="H126" s="20"/>
      <c r="I126" s="20"/>
      <c r="J126" s="60"/>
      <c r="K126" s="21"/>
      <c r="L126" s="21"/>
      <c r="M126" s="21"/>
      <c r="N126" s="21"/>
      <c r="O126" s="21"/>
      <c r="P126" s="21"/>
      <c r="Q126" s="175"/>
      <c r="R126" s="175"/>
      <c r="S126" s="175"/>
      <c r="T126" s="176"/>
      <c r="U126" s="176"/>
      <c r="V126" s="176"/>
      <c r="X126" s="177"/>
    </row>
    <row r="127" spans="1:24" ht="20.25" x14ac:dyDescent="0.3">
      <c r="A127" s="20"/>
      <c r="B127" s="51"/>
      <c r="C127" s="20"/>
      <c r="D127" s="20"/>
      <c r="E127" s="20"/>
      <c r="F127" s="20"/>
      <c r="G127" s="20"/>
      <c r="H127" s="20"/>
      <c r="I127" s="20"/>
      <c r="J127" s="60"/>
      <c r="K127" s="21"/>
      <c r="L127" s="21"/>
      <c r="M127" s="21"/>
      <c r="N127" s="21"/>
      <c r="O127" s="21"/>
      <c r="P127" s="21"/>
      <c r="Q127" s="178"/>
      <c r="R127" s="178"/>
      <c r="S127" s="178"/>
      <c r="T127" s="178"/>
      <c r="U127" s="178"/>
      <c r="V127" s="179"/>
      <c r="X127" s="177"/>
    </row>
    <row r="128" spans="1:24" ht="20.25" x14ac:dyDescent="0.3">
      <c r="A128" s="20"/>
      <c r="B128" s="51"/>
      <c r="C128" s="20"/>
      <c r="D128" s="20"/>
      <c r="E128" s="20"/>
      <c r="F128" s="20"/>
      <c r="G128" s="20"/>
      <c r="H128" s="20"/>
      <c r="I128" s="20"/>
      <c r="J128" s="60"/>
      <c r="K128" s="21"/>
      <c r="L128" s="21"/>
      <c r="M128" s="21"/>
      <c r="N128" s="21"/>
      <c r="O128" s="21"/>
      <c r="P128" s="21"/>
      <c r="Q128" s="178"/>
      <c r="R128" s="178"/>
      <c r="S128" s="178"/>
      <c r="T128" s="178"/>
      <c r="U128" s="178"/>
      <c r="V128" s="178"/>
      <c r="X128" s="177"/>
    </row>
    <row r="129" spans="1:24" ht="20.25" x14ac:dyDescent="0.3">
      <c r="A129" s="20"/>
      <c r="B129" s="51"/>
      <c r="C129" s="20"/>
      <c r="D129" s="20"/>
      <c r="E129" s="20"/>
      <c r="F129" s="20"/>
      <c r="G129" s="20"/>
      <c r="H129" s="20"/>
      <c r="I129" s="20"/>
      <c r="J129" s="60"/>
      <c r="K129" s="21"/>
      <c r="L129" s="21"/>
      <c r="M129" s="21"/>
      <c r="N129" s="21"/>
      <c r="O129" s="21"/>
      <c r="P129" s="21"/>
      <c r="Q129" s="175"/>
      <c r="R129" s="175"/>
      <c r="S129" s="175"/>
      <c r="T129" s="176"/>
      <c r="U129" s="176"/>
      <c r="V129" s="176"/>
      <c r="X129" s="177"/>
    </row>
    <row r="130" spans="1:24" ht="20.25" x14ac:dyDescent="0.3">
      <c r="A130" s="20"/>
      <c r="B130" s="51"/>
      <c r="C130" s="20"/>
      <c r="D130" s="20"/>
      <c r="E130" s="20"/>
      <c r="F130" s="20"/>
      <c r="G130" s="20"/>
      <c r="H130" s="20"/>
      <c r="I130" s="20"/>
      <c r="J130" s="60"/>
      <c r="K130" s="21"/>
      <c r="L130" s="21"/>
      <c r="M130" s="21"/>
      <c r="N130" s="21"/>
      <c r="O130" s="21"/>
      <c r="P130" s="21"/>
      <c r="Q130" s="178"/>
      <c r="R130" s="178"/>
      <c r="S130" s="178"/>
      <c r="T130" s="179"/>
      <c r="U130" s="179"/>
      <c r="V130" s="179"/>
      <c r="X130" s="177"/>
    </row>
    <row r="131" spans="1:24" ht="20.25" x14ac:dyDescent="0.3">
      <c r="A131" s="20"/>
      <c r="B131" s="51"/>
      <c r="C131" s="20"/>
      <c r="D131" s="20"/>
      <c r="E131" s="20"/>
      <c r="F131" s="20"/>
      <c r="G131" s="20"/>
      <c r="H131" s="20"/>
      <c r="I131" s="20"/>
      <c r="J131" s="60"/>
      <c r="K131" s="21"/>
      <c r="L131" s="21"/>
      <c r="M131" s="21"/>
      <c r="N131" s="21"/>
      <c r="O131" s="21"/>
      <c r="P131" s="21"/>
      <c r="Q131" s="178"/>
      <c r="R131" s="178"/>
      <c r="S131" s="178"/>
      <c r="T131" s="178"/>
      <c r="U131" s="178"/>
      <c r="V131" s="178"/>
      <c r="X131" s="177"/>
    </row>
    <row r="132" spans="1:24" ht="18" x14ac:dyDescent="0.25">
      <c r="A132" s="22"/>
      <c r="B132" s="52"/>
      <c r="C132" s="22"/>
      <c r="D132" s="22"/>
      <c r="E132" s="22"/>
      <c r="F132" s="22"/>
      <c r="G132" s="22"/>
      <c r="H132" s="22"/>
      <c r="I132" s="22"/>
      <c r="J132" s="61"/>
      <c r="Q132" s="175"/>
      <c r="R132" s="175"/>
      <c r="S132" s="175"/>
      <c r="T132" s="176"/>
      <c r="U132" s="176"/>
      <c r="V132" s="176"/>
      <c r="X132" s="177"/>
    </row>
    <row r="133" spans="1:24" ht="18" x14ac:dyDescent="0.25">
      <c r="A133" s="22"/>
      <c r="B133" s="52"/>
      <c r="C133" s="22"/>
      <c r="D133" s="22"/>
      <c r="E133" s="22"/>
      <c r="F133" s="22"/>
      <c r="G133" s="22"/>
      <c r="H133" s="22"/>
      <c r="I133" s="22"/>
      <c r="J133" s="61"/>
      <c r="Q133" s="178"/>
      <c r="R133" s="178"/>
      <c r="S133" s="178"/>
      <c r="T133" s="179"/>
      <c r="U133" s="179"/>
      <c r="V133" s="179"/>
      <c r="X133" s="177"/>
    </row>
    <row r="134" spans="1:24" x14ac:dyDescent="0.2">
      <c r="A134" s="22"/>
      <c r="B134" s="52"/>
      <c r="C134" s="22"/>
      <c r="D134" s="22"/>
      <c r="E134" s="22"/>
      <c r="F134" s="22"/>
      <c r="G134" s="22"/>
      <c r="H134" s="22"/>
      <c r="I134" s="22"/>
      <c r="J134" s="61"/>
    </row>
    <row r="135" spans="1:24" x14ac:dyDescent="0.2">
      <c r="A135" s="22"/>
      <c r="B135" s="52"/>
      <c r="C135" s="22"/>
      <c r="D135" s="22"/>
      <c r="E135" s="22"/>
      <c r="F135" s="22"/>
      <c r="G135" s="22"/>
      <c r="H135" s="22"/>
      <c r="I135" s="22"/>
      <c r="J135" s="61"/>
    </row>
    <row r="136" spans="1:24" x14ac:dyDescent="0.2">
      <c r="A136" s="22"/>
      <c r="B136" s="52"/>
      <c r="C136" s="22"/>
      <c r="D136" s="22"/>
      <c r="E136" s="22"/>
      <c r="F136" s="22"/>
      <c r="G136" s="22"/>
      <c r="H136" s="22"/>
      <c r="I136" s="22"/>
      <c r="J136" s="61"/>
    </row>
    <row r="137" spans="1:24" x14ac:dyDescent="0.2">
      <c r="A137" s="22"/>
      <c r="B137" s="52"/>
      <c r="C137" s="22"/>
      <c r="D137" s="22"/>
      <c r="E137" s="22"/>
      <c r="F137" s="22"/>
      <c r="G137" s="22"/>
      <c r="H137" s="22"/>
      <c r="I137" s="22"/>
      <c r="J137" s="61"/>
    </row>
    <row r="138" spans="1:24" x14ac:dyDescent="0.2">
      <c r="A138" s="22"/>
      <c r="B138" s="52"/>
      <c r="C138" s="22"/>
      <c r="D138" s="22"/>
      <c r="E138" s="22"/>
      <c r="F138" s="22"/>
      <c r="G138" s="22"/>
      <c r="H138" s="22"/>
      <c r="I138" s="22"/>
      <c r="J138" s="61"/>
    </row>
    <row r="145" spans="2:10" x14ac:dyDescent="0.2">
      <c r="B145"/>
      <c r="J145"/>
    </row>
    <row r="146" spans="2:10" x14ac:dyDescent="0.2">
      <c r="B146"/>
      <c r="J146"/>
    </row>
    <row r="147" spans="2:10" x14ac:dyDescent="0.2">
      <c r="B147"/>
      <c r="J147"/>
    </row>
    <row r="148" spans="2:10" x14ac:dyDescent="0.2">
      <c r="B148"/>
      <c r="J148"/>
    </row>
    <row r="149" spans="2:10" x14ac:dyDescent="0.2">
      <c r="B149"/>
      <c r="J149"/>
    </row>
    <row r="150" spans="2:10" x14ac:dyDescent="0.2">
      <c r="B150"/>
      <c r="J150"/>
    </row>
    <row r="151" spans="2:10" x14ac:dyDescent="0.2">
      <c r="B151"/>
      <c r="J151"/>
    </row>
    <row r="152" spans="2:10" x14ac:dyDescent="0.2">
      <c r="B152"/>
      <c r="J152"/>
    </row>
    <row r="153" spans="2:10" x14ac:dyDescent="0.2">
      <c r="B153"/>
      <c r="J153"/>
    </row>
    <row r="154" spans="2:10" x14ac:dyDescent="0.2">
      <c r="B154"/>
      <c r="J154"/>
    </row>
    <row r="155" spans="2:10" x14ac:dyDescent="0.2">
      <c r="B155"/>
      <c r="J155"/>
    </row>
    <row r="156" spans="2:10" x14ac:dyDescent="0.2">
      <c r="B156"/>
      <c r="J156"/>
    </row>
    <row r="157" spans="2:10" x14ac:dyDescent="0.2">
      <c r="B157"/>
      <c r="J157"/>
    </row>
    <row r="158" spans="2:10" x14ac:dyDescent="0.2">
      <c r="B158"/>
      <c r="J158"/>
    </row>
    <row r="159" spans="2:10" x14ac:dyDescent="0.2">
      <c r="B159"/>
      <c r="J159"/>
    </row>
    <row r="160" spans="2:10" x14ac:dyDescent="0.2">
      <c r="B160"/>
      <c r="J160"/>
    </row>
    <row r="161" spans="2:10" x14ac:dyDescent="0.2">
      <c r="B161"/>
      <c r="J161"/>
    </row>
    <row r="162" spans="2:10" x14ac:dyDescent="0.2">
      <c r="B162"/>
      <c r="J162"/>
    </row>
    <row r="163" spans="2:10" x14ac:dyDescent="0.2">
      <c r="B163"/>
      <c r="J163"/>
    </row>
    <row r="164" spans="2:10" x14ac:dyDescent="0.2">
      <c r="B164"/>
      <c r="J164"/>
    </row>
    <row r="165" spans="2:10" x14ac:dyDescent="0.2">
      <c r="B165"/>
      <c r="J165"/>
    </row>
    <row r="166" spans="2:10" x14ac:dyDescent="0.2">
      <c r="B166"/>
      <c r="J166"/>
    </row>
    <row r="167" spans="2:10" x14ac:dyDescent="0.2">
      <c r="B167"/>
      <c r="J167"/>
    </row>
    <row r="168" spans="2:10" x14ac:dyDescent="0.2">
      <c r="B168"/>
      <c r="J168"/>
    </row>
    <row r="169" spans="2:10" x14ac:dyDescent="0.2">
      <c r="B169"/>
      <c r="J169"/>
    </row>
    <row r="170" spans="2:10" x14ac:dyDescent="0.2">
      <c r="B170"/>
      <c r="J170"/>
    </row>
    <row r="171" spans="2:10" x14ac:dyDescent="0.2">
      <c r="B171"/>
      <c r="J171"/>
    </row>
    <row r="172" spans="2:10" x14ac:dyDescent="0.2">
      <c r="B172"/>
      <c r="J172"/>
    </row>
    <row r="173" spans="2:10" x14ac:dyDescent="0.2">
      <c r="B173"/>
      <c r="J173"/>
    </row>
    <row r="174" spans="2:10" x14ac:dyDescent="0.2">
      <c r="B174"/>
      <c r="J174"/>
    </row>
    <row r="175" spans="2:10" x14ac:dyDescent="0.2">
      <c r="B175"/>
      <c r="J175"/>
    </row>
    <row r="176" spans="2:10" x14ac:dyDescent="0.2">
      <c r="B176"/>
      <c r="J176"/>
    </row>
    <row r="177" spans="2:10" x14ac:dyDescent="0.2">
      <c r="B177"/>
      <c r="J177"/>
    </row>
    <row r="178" spans="2:10" x14ac:dyDescent="0.2">
      <c r="B178"/>
      <c r="J178"/>
    </row>
    <row r="179" spans="2:10" x14ac:dyDescent="0.2">
      <c r="B179"/>
      <c r="J179"/>
    </row>
    <row r="180" spans="2:10" x14ac:dyDescent="0.2">
      <c r="B180"/>
      <c r="J180"/>
    </row>
    <row r="181" spans="2:10" x14ac:dyDescent="0.2">
      <c r="B181"/>
      <c r="J181"/>
    </row>
    <row r="182" spans="2:10" x14ac:dyDescent="0.2">
      <c r="B182"/>
      <c r="J182"/>
    </row>
    <row r="183" spans="2:10" x14ac:dyDescent="0.2">
      <c r="B183"/>
      <c r="J183"/>
    </row>
    <row r="184" spans="2:10" x14ac:dyDescent="0.2">
      <c r="B184"/>
      <c r="J184"/>
    </row>
    <row r="185" spans="2:10" x14ac:dyDescent="0.2">
      <c r="B185"/>
      <c r="J185"/>
    </row>
    <row r="186" spans="2:10" x14ac:dyDescent="0.2">
      <c r="B186"/>
      <c r="J186"/>
    </row>
    <row r="187" spans="2:10" x14ac:dyDescent="0.2">
      <c r="B187"/>
      <c r="J187"/>
    </row>
    <row r="188" spans="2:10" x14ac:dyDescent="0.2">
      <c r="B188"/>
      <c r="J188"/>
    </row>
    <row r="189" spans="2:10" x14ac:dyDescent="0.2">
      <c r="B189"/>
      <c r="J189"/>
    </row>
    <row r="190" spans="2:10" x14ac:dyDescent="0.2">
      <c r="B190"/>
      <c r="J190"/>
    </row>
    <row r="191" spans="2:10" x14ac:dyDescent="0.2">
      <c r="B191"/>
      <c r="J191"/>
    </row>
    <row r="192" spans="2:10" x14ac:dyDescent="0.2">
      <c r="B192"/>
      <c r="J192"/>
    </row>
    <row r="193" spans="2:10" x14ac:dyDescent="0.2">
      <c r="B193"/>
      <c r="J193"/>
    </row>
    <row r="194" spans="2:10" x14ac:dyDescent="0.2">
      <c r="B194"/>
      <c r="J194"/>
    </row>
    <row r="195" spans="2:10" x14ac:dyDescent="0.2">
      <c r="B195"/>
      <c r="J195"/>
    </row>
    <row r="196" spans="2:10" x14ac:dyDescent="0.2">
      <c r="B196"/>
      <c r="J196"/>
    </row>
    <row r="197" spans="2:10" x14ac:dyDescent="0.2">
      <c r="B197"/>
      <c r="J197"/>
    </row>
    <row r="198" spans="2:10" x14ac:dyDescent="0.2">
      <c r="B198"/>
      <c r="J198"/>
    </row>
    <row r="199" spans="2:10" x14ac:dyDescent="0.2">
      <c r="B199"/>
      <c r="J199"/>
    </row>
    <row r="200" spans="2:10" x14ac:dyDescent="0.2">
      <c r="B200"/>
      <c r="J200"/>
    </row>
    <row r="201" spans="2:10" x14ac:dyDescent="0.2">
      <c r="B201"/>
      <c r="J201"/>
    </row>
    <row r="202" spans="2:10" x14ac:dyDescent="0.2">
      <c r="B202"/>
      <c r="J202"/>
    </row>
    <row r="203" spans="2:10" x14ac:dyDescent="0.2">
      <c r="B203"/>
      <c r="J203"/>
    </row>
    <row r="204" spans="2:10" x14ac:dyDescent="0.2">
      <c r="B204"/>
      <c r="J204"/>
    </row>
    <row r="205" spans="2:10" x14ac:dyDescent="0.2">
      <c r="B205"/>
      <c r="J205"/>
    </row>
    <row r="206" spans="2:10" x14ac:dyDescent="0.2">
      <c r="B206"/>
      <c r="J206"/>
    </row>
    <row r="207" spans="2:10" x14ac:dyDescent="0.2">
      <c r="B207"/>
      <c r="J207"/>
    </row>
    <row r="208" spans="2:10" x14ac:dyDescent="0.2">
      <c r="B208"/>
      <c r="J208"/>
    </row>
    <row r="209" spans="2:10" x14ac:dyDescent="0.2">
      <c r="B209"/>
      <c r="J209"/>
    </row>
    <row r="210" spans="2:10" x14ac:dyDescent="0.2">
      <c r="B210"/>
      <c r="J210"/>
    </row>
    <row r="211" spans="2:10" x14ac:dyDescent="0.2">
      <c r="B211"/>
      <c r="J211"/>
    </row>
    <row r="212" spans="2:10" x14ac:dyDescent="0.2">
      <c r="B212"/>
      <c r="J212"/>
    </row>
    <row r="213" spans="2:10" x14ac:dyDescent="0.2">
      <c r="B213"/>
      <c r="J213"/>
    </row>
    <row r="214" spans="2:10" x14ac:dyDescent="0.2">
      <c r="B214"/>
      <c r="J214"/>
    </row>
    <row r="215" spans="2:10" x14ac:dyDescent="0.2">
      <c r="B215"/>
      <c r="J215"/>
    </row>
    <row r="216" spans="2:10" x14ac:dyDescent="0.2">
      <c r="B216"/>
      <c r="J216"/>
    </row>
    <row r="217" spans="2:10" x14ac:dyDescent="0.2">
      <c r="B217"/>
      <c r="J217"/>
    </row>
    <row r="218" spans="2:10" x14ac:dyDescent="0.2">
      <c r="B218"/>
      <c r="J218"/>
    </row>
    <row r="219" spans="2:10" x14ac:dyDescent="0.2">
      <c r="B219"/>
      <c r="J219"/>
    </row>
    <row r="220" spans="2:10" x14ac:dyDescent="0.2">
      <c r="B220"/>
      <c r="J220"/>
    </row>
    <row r="221" spans="2:10" x14ac:dyDescent="0.2">
      <c r="B221"/>
      <c r="J221"/>
    </row>
    <row r="222" spans="2:10" x14ac:dyDescent="0.2">
      <c r="B222"/>
      <c r="J222"/>
    </row>
    <row r="223" spans="2:10" x14ac:dyDescent="0.2">
      <c r="B223"/>
      <c r="J223"/>
    </row>
    <row r="224" spans="2:10" x14ac:dyDescent="0.2">
      <c r="B224"/>
      <c r="J224"/>
    </row>
    <row r="225" spans="2:10" x14ac:dyDescent="0.2">
      <c r="B225"/>
      <c r="J225"/>
    </row>
    <row r="226" spans="2:10" x14ac:dyDescent="0.2">
      <c r="B226"/>
      <c r="J226"/>
    </row>
    <row r="227" spans="2:10" x14ac:dyDescent="0.2">
      <c r="B227"/>
      <c r="J227"/>
    </row>
    <row r="228" spans="2:10" x14ac:dyDescent="0.2">
      <c r="B228"/>
      <c r="J228"/>
    </row>
    <row r="229" spans="2:10" x14ac:dyDescent="0.2">
      <c r="B229"/>
      <c r="J229"/>
    </row>
    <row r="230" spans="2:10" x14ac:dyDescent="0.2">
      <c r="B230"/>
      <c r="J230"/>
    </row>
    <row r="231" spans="2:10" x14ac:dyDescent="0.2">
      <c r="B231"/>
      <c r="J231"/>
    </row>
    <row r="232" spans="2:10" x14ac:dyDescent="0.2">
      <c r="B232"/>
      <c r="J232"/>
    </row>
    <row r="233" spans="2:10" x14ac:dyDescent="0.2">
      <c r="B233"/>
      <c r="J233"/>
    </row>
    <row r="234" spans="2:10" x14ac:dyDescent="0.2">
      <c r="B234"/>
      <c r="J234"/>
    </row>
    <row r="235" spans="2:10" x14ac:dyDescent="0.2">
      <c r="B235"/>
      <c r="J235"/>
    </row>
    <row r="236" spans="2:10" x14ac:dyDescent="0.2">
      <c r="B236"/>
      <c r="J236"/>
    </row>
    <row r="237" spans="2:10" x14ac:dyDescent="0.2">
      <c r="B237"/>
      <c r="J237"/>
    </row>
    <row r="238" spans="2:10" x14ac:dyDescent="0.2">
      <c r="B238"/>
      <c r="J238"/>
    </row>
    <row r="239" spans="2:10" x14ac:dyDescent="0.2">
      <c r="B239"/>
      <c r="J239"/>
    </row>
    <row r="240" spans="2:10" x14ac:dyDescent="0.2">
      <c r="B240"/>
      <c r="J240"/>
    </row>
    <row r="241" spans="2:10" x14ac:dyDescent="0.2">
      <c r="B241"/>
      <c r="J241"/>
    </row>
    <row r="242" spans="2:10" x14ac:dyDescent="0.2">
      <c r="B242"/>
      <c r="J242"/>
    </row>
    <row r="243" spans="2:10" x14ac:dyDescent="0.2">
      <c r="B243"/>
      <c r="J243"/>
    </row>
    <row r="244" spans="2:10" x14ac:dyDescent="0.2">
      <c r="B244"/>
      <c r="J244"/>
    </row>
    <row r="245" spans="2:10" x14ac:dyDescent="0.2">
      <c r="B245"/>
      <c r="J245"/>
    </row>
    <row r="246" spans="2:10" x14ac:dyDescent="0.2">
      <c r="B246"/>
      <c r="J246"/>
    </row>
    <row r="247" spans="2:10" x14ac:dyDescent="0.2">
      <c r="B247"/>
      <c r="J247"/>
    </row>
    <row r="248" spans="2:10" x14ac:dyDescent="0.2">
      <c r="B248"/>
      <c r="J248"/>
    </row>
    <row r="249" spans="2:10" x14ac:dyDescent="0.2">
      <c r="B249"/>
      <c r="J249"/>
    </row>
    <row r="250" spans="2:10" x14ac:dyDescent="0.2">
      <c r="B250"/>
      <c r="J250"/>
    </row>
    <row r="251" spans="2:10" x14ac:dyDescent="0.2">
      <c r="B251"/>
      <c r="J251"/>
    </row>
    <row r="252" spans="2:10" x14ac:dyDescent="0.2">
      <c r="B252"/>
      <c r="J252"/>
    </row>
    <row r="253" spans="2:10" x14ac:dyDescent="0.2">
      <c r="B253"/>
      <c r="J253"/>
    </row>
    <row r="254" spans="2:10" x14ac:dyDescent="0.2">
      <c r="B254"/>
      <c r="J254"/>
    </row>
    <row r="255" spans="2:10" x14ac:dyDescent="0.2">
      <c r="B255"/>
      <c r="J255"/>
    </row>
    <row r="256" spans="2:10" x14ac:dyDescent="0.2">
      <c r="B256"/>
      <c r="J256"/>
    </row>
    <row r="257" spans="2:10" x14ac:dyDescent="0.2">
      <c r="B257"/>
      <c r="J257"/>
    </row>
    <row r="258" spans="2:10" x14ac:dyDescent="0.2">
      <c r="B258"/>
      <c r="J258"/>
    </row>
    <row r="259" spans="2:10" x14ac:dyDescent="0.2">
      <c r="B259"/>
      <c r="J259"/>
    </row>
    <row r="260" spans="2:10" x14ac:dyDescent="0.2">
      <c r="B260"/>
      <c r="J260"/>
    </row>
    <row r="261" spans="2:10" x14ac:dyDescent="0.2">
      <c r="B261"/>
      <c r="J261"/>
    </row>
    <row r="262" spans="2:10" x14ac:dyDescent="0.2">
      <c r="B262"/>
      <c r="J262"/>
    </row>
    <row r="263" spans="2:10" x14ac:dyDescent="0.2">
      <c r="B263"/>
      <c r="J263"/>
    </row>
    <row r="264" spans="2:10" x14ac:dyDescent="0.2">
      <c r="B264"/>
      <c r="J264"/>
    </row>
    <row r="265" spans="2:10" x14ac:dyDescent="0.2">
      <c r="B265"/>
      <c r="J265"/>
    </row>
    <row r="266" spans="2:10" x14ac:dyDescent="0.2">
      <c r="B266"/>
      <c r="J266"/>
    </row>
    <row r="267" spans="2:10" x14ac:dyDescent="0.2">
      <c r="B267"/>
      <c r="J267"/>
    </row>
    <row r="268" spans="2:10" x14ac:dyDescent="0.2">
      <c r="B268"/>
      <c r="J268"/>
    </row>
    <row r="269" spans="2:10" x14ac:dyDescent="0.2">
      <c r="B269"/>
      <c r="J269"/>
    </row>
    <row r="270" spans="2:10" x14ac:dyDescent="0.2">
      <c r="B270"/>
      <c r="J270"/>
    </row>
    <row r="271" spans="2:10" x14ac:dyDescent="0.2">
      <c r="B271"/>
      <c r="J271"/>
    </row>
    <row r="272" spans="2:10" x14ac:dyDescent="0.2">
      <c r="B272"/>
      <c r="J272"/>
    </row>
    <row r="273" spans="2:10" x14ac:dyDescent="0.2">
      <c r="B273"/>
      <c r="J273"/>
    </row>
    <row r="274" spans="2:10" x14ac:dyDescent="0.2">
      <c r="B274"/>
      <c r="J274"/>
    </row>
    <row r="275" spans="2:10" x14ac:dyDescent="0.2">
      <c r="B275"/>
      <c r="J275"/>
    </row>
    <row r="276" spans="2:10" x14ac:dyDescent="0.2">
      <c r="B276"/>
      <c r="J276"/>
    </row>
    <row r="277" spans="2:10" x14ac:dyDescent="0.2">
      <c r="B277"/>
      <c r="J277"/>
    </row>
    <row r="278" spans="2:10" x14ac:dyDescent="0.2">
      <c r="B278"/>
      <c r="J278"/>
    </row>
    <row r="279" spans="2:10" x14ac:dyDescent="0.2">
      <c r="B279"/>
      <c r="J279"/>
    </row>
    <row r="280" spans="2:10" x14ac:dyDescent="0.2">
      <c r="B280"/>
      <c r="J280"/>
    </row>
    <row r="281" spans="2:10" x14ac:dyDescent="0.2">
      <c r="B281"/>
      <c r="J281"/>
    </row>
    <row r="282" spans="2:10" x14ac:dyDescent="0.2">
      <c r="B282"/>
      <c r="J282"/>
    </row>
    <row r="283" spans="2:10" x14ac:dyDescent="0.2">
      <c r="B283"/>
      <c r="J283"/>
    </row>
    <row r="284" spans="2:10" x14ac:dyDescent="0.2">
      <c r="B284"/>
      <c r="J284"/>
    </row>
    <row r="285" spans="2:10" x14ac:dyDescent="0.2">
      <c r="B285"/>
      <c r="J285"/>
    </row>
    <row r="286" spans="2:10" x14ac:dyDescent="0.2">
      <c r="B286"/>
      <c r="J286"/>
    </row>
    <row r="287" spans="2:10" x14ac:dyDescent="0.2">
      <c r="B287"/>
      <c r="J287"/>
    </row>
    <row r="288" spans="2:10" x14ac:dyDescent="0.2">
      <c r="B288"/>
      <c r="J288"/>
    </row>
    <row r="289" spans="2:10" x14ac:dyDescent="0.2">
      <c r="B289"/>
      <c r="J289"/>
    </row>
    <row r="290" spans="2:10" x14ac:dyDescent="0.2">
      <c r="B290"/>
      <c r="J290"/>
    </row>
    <row r="291" spans="2:10" x14ac:dyDescent="0.2">
      <c r="B291"/>
      <c r="J291"/>
    </row>
    <row r="292" spans="2:10" x14ac:dyDescent="0.2">
      <c r="B292"/>
      <c r="J292"/>
    </row>
    <row r="293" spans="2:10" x14ac:dyDescent="0.2">
      <c r="B293"/>
      <c r="J293"/>
    </row>
    <row r="294" spans="2:10" x14ac:dyDescent="0.2">
      <c r="B294"/>
      <c r="J294"/>
    </row>
    <row r="295" spans="2:10" x14ac:dyDescent="0.2">
      <c r="B295"/>
      <c r="J295"/>
    </row>
    <row r="296" spans="2:10" x14ac:dyDescent="0.2">
      <c r="B296"/>
      <c r="J296"/>
    </row>
    <row r="297" spans="2:10" x14ac:dyDescent="0.2">
      <c r="B297"/>
      <c r="J297"/>
    </row>
    <row r="298" spans="2:10" x14ac:dyDescent="0.2">
      <c r="B298"/>
      <c r="J298"/>
    </row>
    <row r="299" spans="2:10" x14ac:dyDescent="0.2">
      <c r="B299"/>
      <c r="J299"/>
    </row>
    <row r="300" spans="2:10" x14ac:dyDescent="0.2">
      <c r="B300"/>
      <c r="J300"/>
    </row>
    <row r="301" spans="2:10" x14ac:dyDescent="0.2">
      <c r="B301"/>
      <c r="J301"/>
    </row>
    <row r="302" spans="2:10" x14ac:dyDescent="0.2">
      <c r="B302"/>
      <c r="J302"/>
    </row>
    <row r="303" spans="2:10" x14ac:dyDescent="0.2">
      <c r="B303"/>
      <c r="J303"/>
    </row>
    <row r="304" spans="2:10" x14ac:dyDescent="0.2">
      <c r="B304"/>
      <c r="J304"/>
    </row>
    <row r="305" spans="2:10" x14ac:dyDescent="0.2">
      <c r="B305"/>
      <c r="J305"/>
    </row>
    <row r="306" spans="2:10" x14ac:dyDescent="0.2">
      <c r="B306"/>
      <c r="J306"/>
    </row>
    <row r="307" spans="2:10" x14ac:dyDescent="0.2">
      <c r="B307"/>
      <c r="J307"/>
    </row>
    <row r="308" spans="2:10" x14ac:dyDescent="0.2">
      <c r="B308"/>
      <c r="J308"/>
    </row>
    <row r="309" spans="2:10" x14ac:dyDescent="0.2">
      <c r="B309"/>
      <c r="J309"/>
    </row>
    <row r="310" spans="2:10" x14ac:dyDescent="0.2">
      <c r="B310"/>
      <c r="J310"/>
    </row>
    <row r="311" spans="2:10" x14ac:dyDescent="0.2">
      <c r="B311"/>
      <c r="J311"/>
    </row>
    <row r="312" spans="2:10" x14ac:dyDescent="0.2">
      <c r="B312"/>
      <c r="J312"/>
    </row>
    <row r="313" spans="2:10" x14ac:dyDescent="0.2">
      <c r="B313"/>
      <c r="J313"/>
    </row>
    <row r="314" spans="2:10" x14ac:dyDescent="0.2">
      <c r="B314"/>
      <c r="J314"/>
    </row>
    <row r="315" spans="2:10" x14ac:dyDescent="0.2">
      <c r="B315"/>
      <c r="J315"/>
    </row>
    <row r="316" spans="2:10" x14ac:dyDescent="0.2">
      <c r="B316"/>
      <c r="J316"/>
    </row>
    <row r="317" spans="2:10" x14ac:dyDescent="0.2">
      <c r="B317"/>
      <c r="J317"/>
    </row>
    <row r="318" spans="2:10" x14ac:dyDescent="0.2">
      <c r="B318"/>
      <c r="J318"/>
    </row>
    <row r="319" spans="2:10" x14ac:dyDescent="0.2">
      <c r="B319"/>
      <c r="J319"/>
    </row>
    <row r="320" spans="2:10" x14ac:dyDescent="0.2">
      <c r="B320"/>
      <c r="J320"/>
    </row>
    <row r="321" spans="2:10" x14ac:dyDescent="0.2">
      <c r="B321"/>
      <c r="J321"/>
    </row>
    <row r="322" spans="2:10" x14ac:dyDescent="0.2">
      <c r="B322"/>
      <c r="J322"/>
    </row>
    <row r="323" spans="2:10" x14ac:dyDescent="0.2">
      <c r="B323"/>
      <c r="J323"/>
    </row>
    <row r="324" spans="2:10" x14ac:dyDescent="0.2">
      <c r="B324"/>
      <c r="J324"/>
    </row>
    <row r="325" spans="2:10" x14ac:dyDescent="0.2">
      <c r="B325"/>
      <c r="J325"/>
    </row>
    <row r="326" spans="2:10" x14ac:dyDescent="0.2">
      <c r="B326"/>
      <c r="J326"/>
    </row>
    <row r="327" spans="2:10" x14ac:dyDescent="0.2">
      <c r="B327"/>
      <c r="J327"/>
    </row>
    <row r="328" spans="2:10" x14ac:dyDescent="0.2">
      <c r="B328"/>
      <c r="J328"/>
    </row>
    <row r="329" spans="2:10" x14ac:dyDescent="0.2">
      <c r="B329"/>
      <c r="J329"/>
    </row>
    <row r="330" spans="2:10" x14ac:dyDescent="0.2">
      <c r="B330"/>
      <c r="J330"/>
    </row>
    <row r="331" spans="2:10" x14ac:dyDescent="0.2">
      <c r="B331"/>
      <c r="J331"/>
    </row>
    <row r="332" spans="2:10" x14ac:dyDescent="0.2">
      <c r="B332"/>
      <c r="J332"/>
    </row>
    <row r="333" spans="2:10" x14ac:dyDescent="0.2">
      <c r="B333"/>
      <c r="J333"/>
    </row>
    <row r="334" spans="2:10" x14ac:dyDescent="0.2">
      <c r="B334"/>
      <c r="J334"/>
    </row>
    <row r="335" spans="2:10" x14ac:dyDescent="0.2">
      <c r="B335"/>
      <c r="J335"/>
    </row>
    <row r="336" spans="2:10" x14ac:dyDescent="0.2">
      <c r="B336"/>
      <c r="J336"/>
    </row>
    <row r="337" spans="2:10" x14ac:dyDescent="0.2">
      <c r="B337"/>
      <c r="J337"/>
    </row>
  </sheetData>
  <mergeCells count="15">
    <mergeCell ref="O1:V1"/>
    <mergeCell ref="A2:U2"/>
    <mergeCell ref="A3:U3"/>
    <mergeCell ref="B5:I5"/>
    <mergeCell ref="J5:J6"/>
    <mergeCell ref="K5:Q5"/>
    <mergeCell ref="R5:V5"/>
    <mergeCell ref="A121:J121"/>
    <mergeCell ref="A123:U123"/>
    <mergeCell ref="A5:A6"/>
    <mergeCell ref="A8:V8"/>
    <mergeCell ref="A9:V9"/>
    <mergeCell ref="A21:V21"/>
    <mergeCell ref="A104:V104"/>
    <mergeCell ref="A112:V112"/>
  </mergeCells>
  <phoneticPr fontId="14" type="noConversion"/>
  <printOptions horizontalCentered="1"/>
  <pageMargins left="0.19685039370078741" right="0.19685039370078741" top="0.39370078740157483" bottom="0.39370078740157483" header="0" footer="0"/>
  <pageSetup paperSize="9" scale="30" fitToWidth="0" fitToHeight="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>
    <tabColor indexed="50"/>
  </sheetPr>
  <dimension ref="A1:AQ39"/>
  <sheetViews>
    <sheetView view="pageBreakPreview" zoomScale="78" zoomScaleNormal="75" zoomScaleSheetLayoutView="78" workbookViewId="0">
      <selection activeCell="X2" sqref="X2"/>
    </sheetView>
  </sheetViews>
  <sheetFormatPr defaultRowHeight="12.75" x14ac:dyDescent="0.2"/>
  <cols>
    <col min="1" max="1" width="27.85546875" customWidth="1"/>
    <col min="2" max="2" width="9.42578125" customWidth="1"/>
    <col min="3" max="3" width="10.7109375" bestFit="1" customWidth="1"/>
    <col min="4" max="4" width="10.42578125" customWidth="1"/>
    <col min="5" max="7" width="10.7109375" bestFit="1" customWidth="1"/>
    <col min="8" max="8" width="12.5703125" customWidth="1"/>
    <col min="9" max="9" width="12" bestFit="1" customWidth="1"/>
    <col min="10" max="10" width="10.5703125" customWidth="1"/>
    <col min="11" max="11" width="16.42578125" bestFit="1" customWidth="1"/>
    <col min="12" max="12" width="10.7109375" bestFit="1" customWidth="1"/>
    <col min="13" max="13" width="10.85546875" bestFit="1" customWidth="1"/>
    <col min="14" max="14" width="9.42578125" bestFit="1" customWidth="1"/>
    <col min="15" max="15" width="12.28515625" bestFit="1" customWidth="1"/>
    <col min="16" max="16" width="14.140625" customWidth="1"/>
    <col min="17" max="18" width="10.85546875" bestFit="1" customWidth="1"/>
    <col min="19" max="19" width="10.28515625" bestFit="1" customWidth="1"/>
    <col min="20" max="21" width="11.140625" customWidth="1"/>
    <col min="22" max="22" width="23.28515625" customWidth="1"/>
    <col min="23" max="23" width="18.5703125" customWidth="1"/>
    <col min="24" max="24" width="17.42578125" customWidth="1"/>
    <col min="25" max="25" width="12.140625" customWidth="1"/>
    <col min="26" max="26" width="12.42578125" customWidth="1"/>
    <col min="27" max="27" width="12" customWidth="1"/>
    <col min="28" max="28" width="11.5703125" customWidth="1"/>
    <col min="29" max="29" width="12.140625" customWidth="1"/>
    <col min="30" max="30" width="12.85546875" customWidth="1"/>
    <col min="31" max="31" width="10" customWidth="1"/>
    <col min="32" max="32" width="9.85546875" customWidth="1"/>
    <col min="33" max="34" width="10.42578125" customWidth="1"/>
    <col min="35" max="35" width="10" customWidth="1"/>
    <col min="36" max="37" width="11.140625" customWidth="1"/>
    <col min="38" max="38" width="18.7109375" customWidth="1"/>
    <col min="39" max="39" width="16.140625" customWidth="1"/>
    <col min="40" max="40" width="16.42578125" customWidth="1"/>
    <col min="41" max="41" width="19.28515625" customWidth="1"/>
    <col min="42" max="42" width="16.7109375" customWidth="1"/>
    <col min="43" max="43" width="15.85546875" customWidth="1"/>
  </cols>
  <sheetData>
    <row r="1" spans="1:43" ht="57" customHeight="1" x14ac:dyDescent="0.3">
      <c r="A1" s="39"/>
      <c r="B1" s="39"/>
      <c r="C1" s="39"/>
      <c r="D1" s="39"/>
      <c r="E1" s="379"/>
      <c r="F1" s="379"/>
      <c r="G1" s="379"/>
      <c r="M1" s="377" t="s">
        <v>450</v>
      </c>
      <c r="N1" s="378"/>
      <c r="O1" s="378"/>
      <c r="P1" s="378"/>
      <c r="Q1" s="378"/>
      <c r="R1" s="378"/>
      <c r="S1" s="378"/>
      <c r="T1" s="378"/>
      <c r="U1" s="378"/>
      <c r="V1" s="378"/>
      <c r="W1" s="378"/>
      <c r="AM1" s="359"/>
      <c r="AN1" s="359"/>
      <c r="AO1" s="359"/>
      <c r="AP1" s="359"/>
      <c r="AQ1" s="359"/>
    </row>
    <row r="2" spans="1:43" ht="42.75" customHeight="1" x14ac:dyDescent="0.2">
      <c r="A2" s="376" t="s">
        <v>410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  <c r="T2" s="376"/>
      <c r="U2" s="376"/>
      <c r="V2" s="376"/>
      <c r="W2" s="376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4"/>
      <c r="AM2" s="114"/>
      <c r="AN2" s="114"/>
      <c r="AO2" s="114"/>
      <c r="AP2" s="114"/>
      <c r="AQ2" s="114"/>
    </row>
    <row r="3" spans="1:43" ht="18.75" x14ac:dyDescent="0.3">
      <c r="A3" s="39"/>
      <c r="B3" s="39"/>
      <c r="C3" s="39"/>
      <c r="D3" s="39"/>
      <c r="E3" s="39"/>
      <c r="F3" s="39"/>
      <c r="G3" s="39"/>
      <c r="AK3" s="114"/>
      <c r="AL3" s="113"/>
      <c r="AM3" s="113"/>
      <c r="AN3" s="113"/>
      <c r="AO3" s="113"/>
      <c r="AP3" s="113"/>
      <c r="AQ3" s="113"/>
    </row>
    <row r="4" spans="1:43" ht="58.15" customHeight="1" x14ac:dyDescent="0.2">
      <c r="A4" s="361" t="s">
        <v>98</v>
      </c>
      <c r="B4" s="369" t="s">
        <v>101</v>
      </c>
      <c r="C4" s="370"/>
      <c r="D4" s="370"/>
      <c r="E4" s="370"/>
      <c r="F4" s="370"/>
      <c r="G4" s="371"/>
      <c r="H4" s="369" t="s">
        <v>99</v>
      </c>
      <c r="I4" s="370"/>
      <c r="J4" s="370"/>
      <c r="K4" s="370"/>
      <c r="L4" s="370"/>
      <c r="M4" s="371"/>
      <c r="N4" s="369" t="s">
        <v>100</v>
      </c>
      <c r="O4" s="370"/>
      <c r="P4" s="370"/>
      <c r="Q4" s="370"/>
      <c r="R4" s="370"/>
      <c r="S4" s="371"/>
      <c r="T4" s="369" t="s">
        <v>115</v>
      </c>
      <c r="U4" s="371"/>
      <c r="V4" s="369" t="s">
        <v>139</v>
      </c>
      <c r="W4" s="371"/>
      <c r="X4" s="362" t="s">
        <v>125</v>
      </c>
      <c r="Y4" s="364" t="s">
        <v>126</v>
      </c>
      <c r="Z4" s="366"/>
      <c r="AA4" s="366"/>
      <c r="AB4" s="366"/>
      <c r="AC4" s="366"/>
      <c r="AD4" s="366"/>
      <c r="AE4" s="365"/>
      <c r="AF4" s="361" t="s">
        <v>116</v>
      </c>
      <c r="AG4" s="361"/>
      <c r="AH4" s="361"/>
      <c r="AI4" s="361"/>
      <c r="AJ4" s="361"/>
      <c r="AK4" s="361"/>
      <c r="AL4" s="361" t="s">
        <v>127</v>
      </c>
      <c r="AM4" s="364" t="s">
        <v>126</v>
      </c>
      <c r="AN4" s="366"/>
      <c r="AO4" s="366"/>
      <c r="AP4" s="366"/>
      <c r="AQ4" s="365"/>
    </row>
    <row r="5" spans="1:43" ht="150.75" customHeight="1" x14ac:dyDescent="0.2">
      <c r="A5" s="361"/>
      <c r="B5" s="372"/>
      <c r="C5" s="373"/>
      <c r="D5" s="373"/>
      <c r="E5" s="373"/>
      <c r="F5" s="373"/>
      <c r="G5" s="374"/>
      <c r="H5" s="372"/>
      <c r="I5" s="373"/>
      <c r="J5" s="373"/>
      <c r="K5" s="373"/>
      <c r="L5" s="373"/>
      <c r="M5" s="374"/>
      <c r="N5" s="372"/>
      <c r="O5" s="373"/>
      <c r="P5" s="373"/>
      <c r="Q5" s="373"/>
      <c r="R5" s="373"/>
      <c r="S5" s="374"/>
      <c r="T5" s="372"/>
      <c r="U5" s="374"/>
      <c r="V5" s="372"/>
      <c r="W5" s="374"/>
      <c r="X5" s="375"/>
      <c r="Y5" s="361" t="s">
        <v>136</v>
      </c>
      <c r="Z5" s="361" t="s">
        <v>135</v>
      </c>
      <c r="AA5" s="361" t="s">
        <v>137</v>
      </c>
      <c r="AB5" s="361" t="s">
        <v>138</v>
      </c>
      <c r="AC5" s="361" t="s">
        <v>16</v>
      </c>
      <c r="AD5" s="361" t="s">
        <v>177</v>
      </c>
      <c r="AE5" s="361" t="s">
        <v>47</v>
      </c>
      <c r="AF5" s="364" t="s">
        <v>104</v>
      </c>
      <c r="AG5" s="365"/>
      <c r="AH5" s="364" t="s">
        <v>105</v>
      </c>
      <c r="AI5" s="365"/>
      <c r="AJ5" s="364" t="s">
        <v>106</v>
      </c>
      <c r="AK5" s="365"/>
      <c r="AL5" s="361"/>
      <c r="AM5" s="361" t="s">
        <v>128</v>
      </c>
      <c r="AN5" s="361" t="s">
        <v>129</v>
      </c>
      <c r="AO5" s="361" t="s">
        <v>130</v>
      </c>
      <c r="AP5" s="361" t="s">
        <v>131</v>
      </c>
      <c r="AQ5" s="361" t="s">
        <v>132</v>
      </c>
    </row>
    <row r="6" spans="1:43" ht="39.75" customHeight="1" x14ac:dyDescent="0.2">
      <c r="A6" s="361"/>
      <c r="B6" s="361" t="s">
        <v>284</v>
      </c>
      <c r="C6" s="361" t="s">
        <v>411</v>
      </c>
      <c r="D6" s="361" t="s">
        <v>412</v>
      </c>
      <c r="E6" s="361" t="s">
        <v>60</v>
      </c>
      <c r="F6" s="361"/>
      <c r="G6" s="361"/>
      <c r="H6" s="361" t="s">
        <v>284</v>
      </c>
      <c r="I6" s="361" t="s">
        <v>411</v>
      </c>
      <c r="J6" s="361" t="s">
        <v>412</v>
      </c>
      <c r="K6" s="361" t="s">
        <v>60</v>
      </c>
      <c r="L6" s="361"/>
      <c r="M6" s="361"/>
      <c r="N6" s="361" t="s">
        <v>284</v>
      </c>
      <c r="O6" s="361" t="s">
        <v>411</v>
      </c>
      <c r="P6" s="361" t="s">
        <v>412</v>
      </c>
      <c r="Q6" s="361" t="s">
        <v>60</v>
      </c>
      <c r="R6" s="361"/>
      <c r="S6" s="361"/>
      <c r="T6" s="362" t="str">
        <f>C6</f>
        <v>Факт 
2021 г.</v>
      </c>
      <c r="U6" s="362" t="str">
        <f>D6</f>
        <v>Оценка 2022 г.</v>
      </c>
      <c r="V6" s="362" t="s">
        <v>133</v>
      </c>
      <c r="W6" s="362" t="s">
        <v>134</v>
      </c>
      <c r="X6" s="375"/>
      <c r="Y6" s="361"/>
      <c r="Z6" s="361"/>
      <c r="AA6" s="361"/>
      <c r="AB6" s="361"/>
      <c r="AC6" s="361"/>
      <c r="AD6" s="361"/>
      <c r="AE6" s="361"/>
      <c r="AF6" s="362" t="s">
        <v>411</v>
      </c>
      <c r="AG6" s="362" t="s">
        <v>412</v>
      </c>
      <c r="AH6" s="362" t="s">
        <v>411</v>
      </c>
      <c r="AI6" s="362" t="s">
        <v>412</v>
      </c>
      <c r="AJ6" s="362" t="s">
        <v>411</v>
      </c>
      <c r="AK6" s="362" t="s">
        <v>412</v>
      </c>
      <c r="AL6" s="361"/>
      <c r="AM6" s="361"/>
      <c r="AN6" s="361"/>
      <c r="AO6" s="361"/>
      <c r="AP6" s="361"/>
      <c r="AQ6" s="361"/>
    </row>
    <row r="7" spans="1:43" ht="36" customHeight="1" x14ac:dyDescent="0.2">
      <c r="A7" s="361"/>
      <c r="B7" s="361"/>
      <c r="C7" s="361"/>
      <c r="D7" s="361"/>
      <c r="E7" s="125" t="s">
        <v>281</v>
      </c>
      <c r="F7" s="125" t="s">
        <v>285</v>
      </c>
      <c r="G7" s="125" t="s">
        <v>413</v>
      </c>
      <c r="H7" s="361"/>
      <c r="I7" s="361"/>
      <c r="J7" s="361"/>
      <c r="K7" s="189" t="s">
        <v>281</v>
      </c>
      <c r="L7" s="189" t="s">
        <v>285</v>
      </c>
      <c r="M7" s="189" t="s">
        <v>413</v>
      </c>
      <c r="N7" s="361"/>
      <c r="O7" s="361"/>
      <c r="P7" s="361"/>
      <c r="Q7" s="189" t="s">
        <v>281</v>
      </c>
      <c r="R7" s="189" t="s">
        <v>285</v>
      </c>
      <c r="S7" s="189" t="s">
        <v>413</v>
      </c>
      <c r="T7" s="363"/>
      <c r="U7" s="363"/>
      <c r="V7" s="363"/>
      <c r="W7" s="363"/>
      <c r="X7" s="363"/>
      <c r="Y7" s="361"/>
      <c r="Z7" s="361"/>
      <c r="AA7" s="361"/>
      <c r="AB7" s="361"/>
      <c r="AC7" s="361"/>
      <c r="AD7" s="361"/>
      <c r="AE7" s="361"/>
      <c r="AF7" s="363"/>
      <c r="AG7" s="363"/>
      <c r="AH7" s="363"/>
      <c r="AI7" s="363"/>
      <c r="AJ7" s="363"/>
      <c r="AK7" s="363"/>
      <c r="AL7" s="361"/>
      <c r="AM7" s="361"/>
      <c r="AN7" s="361"/>
      <c r="AO7" s="361"/>
      <c r="AP7" s="361"/>
      <c r="AQ7" s="361"/>
    </row>
    <row r="8" spans="1:43" s="136" customFormat="1" ht="31.5" x14ac:dyDescent="0.3">
      <c r="A8" s="186" t="s">
        <v>379</v>
      </c>
      <c r="B8" s="182">
        <v>3426.32</v>
      </c>
      <c r="C8" s="182">
        <v>5246.95</v>
      </c>
      <c r="D8" s="182">
        <v>5412</v>
      </c>
      <c r="E8" s="182">
        <v>5638.79</v>
      </c>
      <c r="F8" s="182">
        <v>5871.66</v>
      </c>
      <c r="G8" s="182">
        <v>6038.12</v>
      </c>
      <c r="H8" s="285">
        <f>N20</f>
        <v>771.44067711608307</v>
      </c>
      <c r="I8" s="285">
        <f>O20</f>
        <v>830.29166252366633</v>
      </c>
      <c r="J8" s="285">
        <f t="shared" ref="J8:M8" si="0">P20</f>
        <v>817.46088830001975</v>
      </c>
      <c r="K8" s="285">
        <f t="shared" si="0"/>
        <v>788.84975720951888</v>
      </c>
      <c r="L8" s="285">
        <f t="shared" si="0"/>
        <v>791.21630648114751</v>
      </c>
      <c r="M8" s="285">
        <f t="shared" si="0"/>
        <v>799.91968585244001</v>
      </c>
      <c r="N8" s="286">
        <v>3345.6232127838516</v>
      </c>
      <c r="O8" s="286">
        <f>F20</f>
        <v>3415.7912684455996</v>
      </c>
      <c r="P8" s="286">
        <f>H20</f>
        <v>3415.7912684455996</v>
      </c>
      <c r="Q8" s="286">
        <f>P8</f>
        <v>3415.7912684455996</v>
      </c>
      <c r="R8" s="286">
        <f t="shared" ref="R8:S8" si="1">Q8</f>
        <v>3415.7912684455996</v>
      </c>
      <c r="S8" s="286">
        <f t="shared" si="1"/>
        <v>3415.7912684455996</v>
      </c>
      <c r="T8" s="287">
        <v>240</v>
      </c>
      <c r="U8" s="287">
        <v>240</v>
      </c>
      <c r="V8" s="187"/>
      <c r="W8" s="187"/>
      <c r="X8" s="287">
        <f>AH8+AL8+AJ8</f>
        <v>145</v>
      </c>
      <c r="Y8" s="289">
        <v>11</v>
      </c>
      <c r="Z8" s="289">
        <v>11</v>
      </c>
      <c r="AA8" s="289">
        <v>0</v>
      </c>
      <c r="AB8" s="290">
        <v>7</v>
      </c>
      <c r="AC8" s="290">
        <v>32</v>
      </c>
      <c r="AD8" s="290">
        <v>24</v>
      </c>
      <c r="AE8" s="290">
        <v>103</v>
      </c>
      <c r="AF8" s="287">
        <v>252</v>
      </c>
      <c r="AG8" s="287">
        <v>246</v>
      </c>
      <c r="AH8" s="287">
        <v>4</v>
      </c>
      <c r="AI8" s="287">
        <v>4</v>
      </c>
      <c r="AJ8" s="287">
        <v>120</v>
      </c>
      <c r="AK8" s="287">
        <f>AJ8</f>
        <v>120</v>
      </c>
      <c r="AL8" s="291">
        <f>AM8+AN8+AO8+AP8+AQ8+2+2+1</f>
        <v>21</v>
      </c>
      <c r="AM8" s="291">
        <v>8</v>
      </c>
      <c r="AN8" s="291">
        <v>3</v>
      </c>
      <c r="AO8" s="291">
        <v>3</v>
      </c>
      <c r="AP8" s="291"/>
      <c r="AQ8" s="291">
        <v>2</v>
      </c>
    </row>
    <row r="9" spans="1:43" s="136" customFormat="1" ht="31.5" x14ac:dyDescent="0.3">
      <c r="A9" s="186" t="s">
        <v>380</v>
      </c>
      <c r="B9" s="182">
        <v>6705.35</v>
      </c>
      <c r="C9" s="182">
        <v>7559.8</v>
      </c>
      <c r="D9" s="182">
        <v>7797.63</v>
      </c>
      <c r="E9" s="182">
        <v>8124.39</v>
      </c>
      <c r="F9" s="182">
        <v>8459.91</v>
      </c>
      <c r="G9" s="182">
        <v>8699.74</v>
      </c>
      <c r="H9" s="285">
        <f t="shared" ref="H9:H15" si="2">N21</f>
        <v>3433.3787044887517</v>
      </c>
      <c r="I9" s="285">
        <f t="shared" ref="I9:I15" si="3">O21</f>
        <v>3695.3012683752422</v>
      </c>
      <c r="J9" s="285">
        <f t="shared" ref="J9:J14" si="4">P21</f>
        <v>3638.1965443331333</v>
      </c>
      <c r="K9" s="285">
        <f t="shared" ref="K9:K15" si="5">Q21</f>
        <v>3510.8596652814731</v>
      </c>
      <c r="L9" s="285">
        <f t="shared" ref="L9:L15" si="6">R21</f>
        <v>3521.3922442773178</v>
      </c>
      <c r="M9" s="285">
        <f t="shared" ref="M9:M15" si="7">S21</f>
        <v>3560.1275589643678</v>
      </c>
      <c r="N9" s="286">
        <v>8580.2245584524826</v>
      </c>
      <c r="O9" s="286">
        <f t="shared" ref="O9:O15" si="8">F21</f>
        <v>8760.1783775518015</v>
      </c>
      <c r="P9" s="286">
        <f t="shared" ref="P9:P15" si="9">H21</f>
        <v>8760.1783775518015</v>
      </c>
      <c r="Q9" s="286">
        <f t="shared" ref="Q9:S15" si="10">P9</f>
        <v>8760.1783775518015</v>
      </c>
      <c r="R9" s="286">
        <f t="shared" si="10"/>
        <v>8760.1783775518015</v>
      </c>
      <c r="S9" s="286">
        <f t="shared" si="10"/>
        <v>8760.1783775518015</v>
      </c>
      <c r="T9" s="287">
        <v>270</v>
      </c>
      <c r="U9" s="287">
        <v>270</v>
      </c>
      <c r="V9" s="187"/>
      <c r="W9" s="187"/>
      <c r="X9" s="287">
        <f t="shared" ref="X9:X15" si="11">AH9+AL9+AJ9</f>
        <v>142</v>
      </c>
      <c r="Y9" s="289">
        <v>20</v>
      </c>
      <c r="Z9" s="290">
        <v>15</v>
      </c>
      <c r="AA9" s="290">
        <v>1</v>
      </c>
      <c r="AB9" s="290">
        <v>15</v>
      </c>
      <c r="AC9" s="290">
        <v>28</v>
      </c>
      <c r="AD9" s="290">
        <v>12</v>
      </c>
      <c r="AE9" s="290">
        <v>111</v>
      </c>
      <c r="AF9" s="287">
        <v>364</v>
      </c>
      <c r="AG9" s="287">
        <v>367</v>
      </c>
      <c r="AH9" s="287">
        <v>6</v>
      </c>
      <c r="AI9" s="287">
        <v>6</v>
      </c>
      <c r="AJ9" s="287">
        <v>108</v>
      </c>
      <c r="AK9" s="287">
        <f t="shared" ref="AK9:AK15" si="12">AJ9</f>
        <v>108</v>
      </c>
      <c r="AL9" s="291">
        <f>AM9+AN9+AO9+AP9+AQ9+3+6+1+1</f>
        <v>28</v>
      </c>
      <c r="AM9" s="291">
        <v>5</v>
      </c>
      <c r="AN9" s="291">
        <v>5</v>
      </c>
      <c r="AO9" s="291">
        <v>3</v>
      </c>
      <c r="AP9" s="291"/>
      <c r="AQ9" s="291">
        <v>4</v>
      </c>
    </row>
    <row r="10" spans="1:43" s="136" customFormat="1" ht="31.5" x14ac:dyDescent="0.3">
      <c r="A10" s="186" t="s">
        <v>381</v>
      </c>
      <c r="B10" s="182">
        <v>896.69299999999998</v>
      </c>
      <c r="C10" s="182">
        <v>1212.98</v>
      </c>
      <c r="D10" s="182">
        <v>1251.1400000000001</v>
      </c>
      <c r="E10" s="182">
        <v>1303.57</v>
      </c>
      <c r="F10" s="182">
        <v>1357.4</v>
      </c>
      <c r="G10" s="182">
        <v>1395.89</v>
      </c>
      <c r="H10" s="285">
        <f t="shared" si="2"/>
        <v>421.37341757773675</v>
      </c>
      <c r="I10" s="285">
        <f t="shared" si="3"/>
        <v>453.5187809019983</v>
      </c>
      <c r="J10" s="285">
        <f t="shared" si="4"/>
        <v>446.5104037899722</v>
      </c>
      <c r="K10" s="285">
        <f t="shared" si="5"/>
        <v>430.88253965732309</v>
      </c>
      <c r="L10" s="285">
        <f t="shared" si="6"/>
        <v>432.17518727629511</v>
      </c>
      <c r="M10" s="285">
        <f t="shared" si="7"/>
        <v>436.92911433633429</v>
      </c>
      <c r="N10" s="286">
        <v>761.54079058031959</v>
      </c>
      <c r="O10" s="286">
        <f t="shared" si="8"/>
        <v>777.51265387262026</v>
      </c>
      <c r="P10" s="286">
        <f t="shared" si="9"/>
        <v>777.51265387262026</v>
      </c>
      <c r="Q10" s="286">
        <f t="shared" si="10"/>
        <v>777.51265387262026</v>
      </c>
      <c r="R10" s="286">
        <f t="shared" si="10"/>
        <v>777.51265387262026</v>
      </c>
      <c r="S10" s="286">
        <f t="shared" si="10"/>
        <v>777.51265387262026</v>
      </c>
      <c r="T10" s="287">
        <v>20</v>
      </c>
      <c r="U10" s="287">
        <v>20</v>
      </c>
      <c r="V10" s="187"/>
      <c r="W10" s="187"/>
      <c r="X10" s="287">
        <f>AH10+AL10+AJ10</f>
        <v>27</v>
      </c>
      <c r="Y10" s="289">
        <v>2</v>
      </c>
      <c r="Z10" s="290">
        <v>0</v>
      </c>
      <c r="AA10" s="290">
        <v>0</v>
      </c>
      <c r="AB10" s="290">
        <v>2</v>
      </c>
      <c r="AC10" s="290">
        <v>11</v>
      </c>
      <c r="AD10" s="290">
        <v>1</v>
      </c>
      <c r="AE10" s="290">
        <v>15</v>
      </c>
      <c r="AF10" s="287">
        <v>60</v>
      </c>
      <c r="AG10" s="287">
        <v>57</v>
      </c>
      <c r="AH10" s="287">
        <v>0</v>
      </c>
      <c r="AI10" s="287">
        <v>0</v>
      </c>
      <c r="AJ10" s="287">
        <v>19</v>
      </c>
      <c r="AK10" s="287">
        <f t="shared" si="12"/>
        <v>19</v>
      </c>
      <c r="AL10" s="291">
        <f t="shared" ref="AL10:AL15" si="13">SUM(AM10:AQ10)+2</f>
        <v>8</v>
      </c>
      <c r="AM10" s="291">
        <v>3</v>
      </c>
      <c r="AN10" s="291">
        <v>1</v>
      </c>
      <c r="AO10" s="291"/>
      <c r="AP10" s="291"/>
      <c r="AQ10" s="291">
        <v>2</v>
      </c>
    </row>
    <row r="11" spans="1:43" s="136" customFormat="1" ht="31.5" x14ac:dyDescent="0.3">
      <c r="A11" s="186" t="s">
        <v>382</v>
      </c>
      <c r="B11" s="182">
        <v>60.139000000000003</v>
      </c>
      <c r="C11" s="182">
        <v>260.52699999999999</v>
      </c>
      <c r="D11" s="182">
        <v>268.72199999999998</v>
      </c>
      <c r="E11" s="182">
        <v>279.98</v>
      </c>
      <c r="F11" s="182">
        <v>291.54500000000002</v>
      </c>
      <c r="G11" s="182">
        <v>299.81</v>
      </c>
      <c r="H11" s="285">
        <f t="shared" si="2"/>
        <v>44.622752226121172</v>
      </c>
      <c r="I11" s="285">
        <f t="shared" si="3"/>
        <v>48.026893358428218</v>
      </c>
      <c r="J11" s="285">
        <f t="shared" si="4"/>
        <v>47.284717743329132</v>
      </c>
      <c r="K11" s="285">
        <f t="shared" si="5"/>
        <v>45.629752622312608</v>
      </c>
      <c r="L11" s="285">
        <f t="shared" si="6"/>
        <v>45.766641880179549</v>
      </c>
      <c r="M11" s="285">
        <f t="shared" si="7"/>
        <v>46.27007494086152</v>
      </c>
      <c r="N11" s="286">
        <v>127.91505466778807</v>
      </c>
      <c r="O11" s="286">
        <f t="shared" si="8"/>
        <v>130.59782858016669</v>
      </c>
      <c r="P11" s="286">
        <f t="shared" si="9"/>
        <v>124.59782858016669</v>
      </c>
      <c r="Q11" s="286">
        <f t="shared" si="10"/>
        <v>124.59782858016669</v>
      </c>
      <c r="R11" s="286">
        <f t="shared" si="10"/>
        <v>124.59782858016669</v>
      </c>
      <c r="S11" s="286">
        <f t="shared" si="10"/>
        <v>124.59782858016669</v>
      </c>
      <c r="T11" s="287">
        <v>0</v>
      </c>
      <c r="U11" s="287">
        <v>6</v>
      </c>
      <c r="V11" s="187"/>
      <c r="W11" s="187"/>
      <c r="X11" s="287">
        <f t="shared" si="11"/>
        <v>5</v>
      </c>
      <c r="Y11" s="289">
        <v>1</v>
      </c>
      <c r="Z11" s="290">
        <v>0</v>
      </c>
      <c r="AA11" s="290">
        <v>0</v>
      </c>
      <c r="AB11" s="290">
        <v>0</v>
      </c>
      <c r="AC11" s="290">
        <v>1</v>
      </c>
      <c r="AD11" s="290">
        <v>0</v>
      </c>
      <c r="AE11" s="290">
        <v>6</v>
      </c>
      <c r="AF11" s="287">
        <v>7</v>
      </c>
      <c r="AG11" s="287">
        <v>7</v>
      </c>
      <c r="AH11" s="287">
        <v>0</v>
      </c>
      <c r="AI11" s="287">
        <v>0</v>
      </c>
      <c r="AJ11" s="287">
        <v>1</v>
      </c>
      <c r="AK11" s="287">
        <f t="shared" si="12"/>
        <v>1</v>
      </c>
      <c r="AL11" s="291">
        <f t="shared" si="13"/>
        <v>4</v>
      </c>
      <c r="AM11" s="291">
        <v>1</v>
      </c>
      <c r="AN11" s="291"/>
      <c r="AO11" s="291"/>
      <c r="AP11" s="291"/>
      <c r="AQ11" s="291">
        <v>1</v>
      </c>
    </row>
    <row r="12" spans="1:43" s="136" customFormat="1" ht="31.5" x14ac:dyDescent="0.3">
      <c r="A12" s="186" t="s">
        <v>383</v>
      </c>
      <c r="B12" s="182">
        <v>50.813400000000001</v>
      </c>
      <c r="C12" s="182">
        <v>86.360500000000002</v>
      </c>
      <c r="D12" s="182">
        <v>89.077100000000002</v>
      </c>
      <c r="E12" s="182">
        <v>92.81</v>
      </c>
      <c r="F12" s="182">
        <v>96.64</v>
      </c>
      <c r="G12" s="182">
        <v>99.38</v>
      </c>
      <c r="H12" s="285">
        <f t="shared" si="2"/>
        <v>88.062556388308522</v>
      </c>
      <c r="I12" s="285">
        <f t="shared" si="3"/>
        <v>94.780594955236424</v>
      </c>
      <c r="J12" s="285">
        <f t="shared" si="4"/>
        <v>93.315918782339324</v>
      </c>
      <c r="K12" s="285">
        <f t="shared" si="5"/>
        <v>90.04986162495743</v>
      </c>
      <c r="L12" s="285">
        <f t="shared" si="6"/>
        <v>90.320011209832316</v>
      </c>
      <c r="M12" s="285">
        <f t="shared" si="7"/>
        <v>91.31353133314046</v>
      </c>
      <c r="N12" s="286">
        <v>36.688814129520608</v>
      </c>
      <c r="O12" s="286">
        <f t="shared" si="8"/>
        <v>37.458291918342383</v>
      </c>
      <c r="P12" s="286">
        <f t="shared" si="9"/>
        <v>35.458291918342383</v>
      </c>
      <c r="Q12" s="286">
        <f t="shared" si="10"/>
        <v>35.458291918342383</v>
      </c>
      <c r="R12" s="286">
        <f t="shared" si="10"/>
        <v>35.458291918342383</v>
      </c>
      <c r="S12" s="286">
        <f t="shared" si="10"/>
        <v>35.458291918342383</v>
      </c>
      <c r="T12" s="287">
        <v>8</v>
      </c>
      <c r="U12" s="287">
        <v>10</v>
      </c>
      <c r="V12" s="187"/>
      <c r="W12" s="187"/>
      <c r="X12" s="287">
        <f t="shared" si="11"/>
        <v>17</v>
      </c>
      <c r="Y12" s="289">
        <v>1</v>
      </c>
      <c r="Z12" s="290">
        <v>5</v>
      </c>
      <c r="AA12" s="290">
        <v>0</v>
      </c>
      <c r="AB12" s="290">
        <v>0</v>
      </c>
      <c r="AC12" s="290">
        <v>3</v>
      </c>
      <c r="AD12" s="290">
        <v>2</v>
      </c>
      <c r="AE12" s="290">
        <v>9</v>
      </c>
      <c r="AF12" s="287">
        <v>39</v>
      </c>
      <c r="AG12" s="287">
        <v>40</v>
      </c>
      <c r="AH12" s="287">
        <v>0</v>
      </c>
      <c r="AI12" s="287">
        <v>0</v>
      </c>
      <c r="AJ12" s="287">
        <v>13</v>
      </c>
      <c r="AK12" s="287">
        <f t="shared" si="12"/>
        <v>13</v>
      </c>
      <c r="AL12" s="291">
        <f t="shared" si="13"/>
        <v>4</v>
      </c>
      <c r="AM12" s="291"/>
      <c r="AN12" s="291">
        <v>1</v>
      </c>
      <c r="AO12" s="291"/>
      <c r="AP12" s="291"/>
      <c r="AQ12" s="291">
        <v>1</v>
      </c>
    </row>
    <row r="13" spans="1:43" s="136" customFormat="1" ht="31.5" x14ac:dyDescent="0.3">
      <c r="A13" s="186" t="s">
        <v>384</v>
      </c>
      <c r="B13" s="182">
        <v>25.548200000000001</v>
      </c>
      <c r="C13" s="182">
        <v>40.397300000000001</v>
      </c>
      <c r="D13" s="182">
        <v>41.667999999999999</v>
      </c>
      <c r="E13" s="182">
        <v>43.41</v>
      </c>
      <c r="F13" s="182">
        <v>45.207000000000001</v>
      </c>
      <c r="G13" s="182">
        <v>46.49</v>
      </c>
      <c r="H13" s="285">
        <f t="shared" si="2"/>
        <v>21.366237196000075</v>
      </c>
      <c r="I13" s="285">
        <f t="shared" si="3"/>
        <v>22.996205838744526</v>
      </c>
      <c r="J13" s="285">
        <f t="shared" si="4"/>
        <v>22.640837793471611</v>
      </c>
      <c r="K13" s="285">
        <f t="shared" si="5"/>
        <v>21.8484084707001</v>
      </c>
      <c r="L13" s="285">
        <f t="shared" si="6"/>
        <v>21.913953696112205</v>
      </c>
      <c r="M13" s="285">
        <f t="shared" si="7"/>
        <v>22.155007186769435</v>
      </c>
      <c r="N13" s="286">
        <v>79.32716568544997</v>
      </c>
      <c r="O13" s="286">
        <f t="shared" si="8"/>
        <v>80.990901445064608</v>
      </c>
      <c r="P13" s="286">
        <f t="shared" si="9"/>
        <v>80.990901445064608</v>
      </c>
      <c r="Q13" s="286">
        <f t="shared" si="10"/>
        <v>80.990901445064608</v>
      </c>
      <c r="R13" s="286">
        <f t="shared" si="10"/>
        <v>80.990901445064608</v>
      </c>
      <c r="S13" s="286">
        <f t="shared" si="10"/>
        <v>80.990901445064608</v>
      </c>
      <c r="T13" s="287">
        <v>10</v>
      </c>
      <c r="U13" s="287">
        <v>10</v>
      </c>
      <c r="V13" s="187"/>
      <c r="W13" s="187"/>
      <c r="X13" s="287">
        <f t="shared" si="11"/>
        <v>5</v>
      </c>
      <c r="Y13" s="289">
        <v>0</v>
      </c>
      <c r="Z13" s="290">
        <v>0</v>
      </c>
      <c r="AA13" s="290">
        <v>0</v>
      </c>
      <c r="AB13" s="290">
        <v>1</v>
      </c>
      <c r="AC13" s="290">
        <v>0</v>
      </c>
      <c r="AD13" s="290">
        <v>0</v>
      </c>
      <c r="AE13" s="290">
        <v>4</v>
      </c>
      <c r="AF13" s="287">
        <v>10</v>
      </c>
      <c r="AG13" s="287">
        <v>10</v>
      </c>
      <c r="AH13" s="287">
        <v>0</v>
      </c>
      <c r="AI13" s="287">
        <v>0</v>
      </c>
      <c r="AJ13" s="287">
        <v>2</v>
      </c>
      <c r="AK13" s="287">
        <f t="shared" si="12"/>
        <v>2</v>
      </c>
      <c r="AL13" s="291">
        <f t="shared" si="13"/>
        <v>3</v>
      </c>
      <c r="AM13" s="291"/>
      <c r="AN13" s="291"/>
      <c r="AO13" s="291"/>
      <c r="AP13" s="291"/>
      <c r="AQ13" s="291">
        <v>1</v>
      </c>
    </row>
    <row r="14" spans="1:43" s="136" customFormat="1" ht="31.5" x14ac:dyDescent="0.3">
      <c r="A14" s="186" t="s">
        <v>385</v>
      </c>
      <c r="B14" s="182">
        <v>21.8749</v>
      </c>
      <c r="C14" s="182">
        <v>32.287999999999997</v>
      </c>
      <c r="D14" s="182">
        <v>33.299999999999997</v>
      </c>
      <c r="E14" s="182">
        <v>34.700000000000003</v>
      </c>
      <c r="F14" s="182">
        <v>36.130000000000003</v>
      </c>
      <c r="G14" s="182">
        <v>37.159999999999997</v>
      </c>
      <c r="H14" s="285">
        <f t="shared" si="2"/>
        <v>10.353844394637022</v>
      </c>
      <c r="I14" s="285">
        <f t="shared" si="3"/>
        <v>11.143709336240926</v>
      </c>
      <c r="J14" s="285">
        <f t="shared" si="4"/>
        <v>10.971501875946004</v>
      </c>
      <c r="K14" s="285">
        <f t="shared" si="5"/>
        <v>10.587499310287892</v>
      </c>
      <c r="L14" s="285">
        <f t="shared" si="6"/>
        <v>10.619261808218758</v>
      </c>
      <c r="M14" s="285">
        <f t="shared" si="7"/>
        <v>10.736073688109162</v>
      </c>
      <c r="N14" s="286">
        <v>32.722455845248106</v>
      </c>
      <c r="O14" s="286">
        <f t="shared" si="8"/>
        <v>33.408746846089151</v>
      </c>
      <c r="P14" s="286">
        <f t="shared" si="9"/>
        <v>31.408746846089151</v>
      </c>
      <c r="Q14" s="286">
        <f t="shared" si="10"/>
        <v>31.408746846089151</v>
      </c>
      <c r="R14" s="286">
        <f t="shared" si="10"/>
        <v>31.408746846089151</v>
      </c>
      <c r="S14" s="286">
        <f t="shared" si="10"/>
        <v>31.408746846089151</v>
      </c>
      <c r="T14" s="287">
        <v>8</v>
      </c>
      <c r="U14" s="287">
        <v>10</v>
      </c>
      <c r="V14" s="187"/>
      <c r="W14" s="187"/>
      <c r="X14" s="287">
        <f t="shared" si="11"/>
        <v>7</v>
      </c>
      <c r="Y14" s="289">
        <v>0</v>
      </c>
      <c r="Z14" s="290">
        <v>0</v>
      </c>
      <c r="AA14" s="290">
        <v>0</v>
      </c>
      <c r="AB14" s="290">
        <v>0</v>
      </c>
      <c r="AC14" s="290">
        <v>1</v>
      </c>
      <c r="AD14" s="290">
        <v>1</v>
      </c>
      <c r="AE14" s="290">
        <v>3</v>
      </c>
      <c r="AF14" s="287">
        <v>12</v>
      </c>
      <c r="AG14" s="287">
        <v>12</v>
      </c>
      <c r="AH14" s="287">
        <v>0</v>
      </c>
      <c r="AI14" s="287">
        <v>0</v>
      </c>
      <c r="AJ14" s="287">
        <v>3</v>
      </c>
      <c r="AK14" s="287">
        <f t="shared" si="12"/>
        <v>3</v>
      </c>
      <c r="AL14" s="291">
        <f t="shared" si="13"/>
        <v>4</v>
      </c>
      <c r="AM14" s="291"/>
      <c r="AN14" s="291"/>
      <c r="AO14" s="291"/>
      <c r="AP14" s="291"/>
      <c r="AQ14" s="291">
        <v>2</v>
      </c>
    </row>
    <row r="15" spans="1:43" s="136" customFormat="1" ht="31.5" x14ac:dyDescent="0.3">
      <c r="A15" s="186" t="s">
        <v>386</v>
      </c>
      <c r="B15" s="182">
        <v>0.98682999999999998</v>
      </c>
      <c r="C15" s="182">
        <v>9.2499699999999994</v>
      </c>
      <c r="D15" s="182">
        <v>9.5</v>
      </c>
      <c r="E15" s="182">
        <v>9.9</v>
      </c>
      <c r="F15" s="182">
        <v>10.35</v>
      </c>
      <c r="G15" s="182">
        <v>10.64</v>
      </c>
      <c r="H15" s="285">
        <f t="shared" si="2"/>
        <v>19.341810612360799</v>
      </c>
      <c r="I15" s="285">
        <f t="shared" si="3"/>
        <v>20.817341586900014</v>
      </c>
      <c r="J15" s="285">
        <f>P27</f>
        <v>20.49564425824542</v>
      </c>
      <c r="K15" s="285">
        <f t="shared" si="5"/>
        <v>19.778296709206828</v>
      </c>
      <c r="L15" s="285">
        <f t="shared" si="6"/>
        <v>19.837631599334451</v>
      </c>
      <c r="M15" s="285">
        <f t="shared" si="7"/>
        <v>20.055845546927127</v>
      </c>
      <c r="N15" s="286">
        <v>4.9579478553406231</v>
      </c>
      <c r="O15" s="286">
        <f t="shared" si="8"/>
        <v>5.061931340316538</v>
      </c>
      <c r="P15" s="286">
        <f t="shared" si="9"/>
        <v>5.061931340316538</v>
      </c>
      <c r="Q15" s="286">
        <f t="shared" si="10"/>
        <v>5.061931340316538</v>
      </c>
      <c r="R15" s="286">
        <f t="shared" si="10"/>
        <v>5.061931340316538</v>
      </c>
      <c r="S15" s="286">
        <f t="shared" si="10"/>
        <v>5.061931340316538</v>
      </c>
      <c r="T15" s="287">
        <v>2</v>
      </c>
      <c r="U15" s="287">
        <v>2</v>
      </c>
      <c r="V15" s="187"/>
      <c r="W15" s="187"/>
      <c r="X15" s="287">
        <f t="shared" si="11"/>
        <v>2</v>
      </c>
      <c r="Y15" s="289">
        <v>0</v>
      </c>
      <c r="Z15" s="290">
        <v>0</v>
      </c>
      <c r="AA15" s="290">
        <v>0</v>
      </c>
      <c r="AB15" s="290">
        <v>0</v>
      </c>
      <c r="AC15" s="290">
        <v>0</v>
      </c>
      <c r="AD15" s="290">
        <v>0</v>
      </c>
      <c r="AE15" s="290">
        <v>2</v>
      </c>
      <c r="AF15" s="287">
        <v>0</v>
      </c>
      <c r="AG15" s="287">
        <v>0</v>
      </c>
      <c r="AH15" s="287">
        <v>0</v>
      </c>
      <c r="AI15" s="287">
        <v>0</v>
      </c>
      <c r="AJ15" s="287">
        <v>0</v>
      </c>
      <c r="AK15" s="287">
        <f t="shared" si="12"/>
        <v>0</v>
      </c>
      <c r="AL15" s="291">
        <f t="shared" si="13"/>
        <v>2</v>
      </c>
      <c r="AM15" s="291"/>
      <c r="AN15" s="291"/>
      <c r="AO15" s="291"/>
      <c r="AP15" s="291"/>
      <c r="AQ15" s="291"/>
    </row>
    <row r="16" spans="1:43" s="136" customFormat="1" ht="19.5" x14ac:dyDescent="0.3">
      <c r="A16" s="188" t="s">
        <v>103</v>
      </c>
      <c r="B16" s="182">
        <f t="shared" ref="B16:G16" si="14">SUM(B8:B15)</f>
        <v>11187.725329999999</v>
      </c>
      <c r="C16" s="182">
        <f t="shared" si="14"/>
        <v>14448.552770000002</v>
      </c>
      <c r="D16" s="182">
        <f>SUM(D8:D15)</f>
        <v>14903.0371</v>
      </c>
      <c r="E16" s="182">
        <f t="shared" si="14"/>
        <v>15527.55</v>
      </c>
      <c r="F16" s="182">
        <f t="shared" si="14"/>
        <v>16168.841999999999</v>
      </c>
      <c r="G16" s="182">
        <f t="shared" si="14"/>
        <v>16627.230000000003</v>
      </c>
      <c r="H16" s="182">
        <f>N29</f>
        <v>4809.9380000000001</v>
      </c>
      <c r="I16" s="182">
        <f t="shared" ref="I16:M16" si="15">O29</f>
        <v>5176.8764568764573</v>
      </c>
      <c r="J16" s="326">
        <f>P29</f>
        <v>5096.8764568764573</v>
      </c>
      <c r="K16" s="182">
        <f t="shared" si="15"/>
        <v>4918.4857808857805</v>
      </c>
      <c r="L16" s="182">
        <f t="shared" si="15"/>
        <v>4933.2412382284383</v>
      </c>
      <c r="M16" s="182">
        <f t="shared" si="15"/>
        <v>4987.5068918489505</v>
      </c>
      <c r="N16" s="182">
        <v>12969</v>
      </c>
      <c r="O16" s="288">
        <f>SUM(O8:O15)</f>
        <v>13241</v>
      </c>
      <c r="P16" s="288">
        <f t="shared" ref="P16:U16" si="16">SUM(P8:P15)</f>
        <v>13231</v>
      </c>
      <c r="Q16" s="288">
        <f t="shared" si="16"/>
        <v>13231</v>
      </c>
      <c r="R16" s="288">
        <f t="shared" si="16"/>
        <v>13231</v>
      </c>
      <c r="S16" s="288">
        <f t="shared" si="16"/>
        <v>13231</v>
      </c>
      <c r="T16" s="288">
        <f t="shared" si="16"/>
        <v>558</v>
      </c>
      <c r="U16" s="288">
        <f t="shared" si="16"/>
        <v>568</v>
      </c>
      <c r="V16" s="187"/>
      <c r="W16" s="187"/>
      <c r="X16" s="287">
        <f>Y16+Z16+AA16+AB16+AC16+AD16+AE16</f>
        <v>475</v>
      </c>
      <c r="Y16" s="287">
        <v>47</v>
      </c>
      <c r="Z16" s="287">
        <v>31</v>
      </c>
      <c r="AA16" s="287">
        <f t="shared" ref="AA16" si="17">AA8+AA9+AA10+AA11+AA12+AA13+AA14+AA15</f>
        <v>1</v>
      </c>
      <c r="AB16" s="287">
        <v>31</v>
      </c>
      <c r="AC16" s="287">
        <v>65</v>
      </c>
      <c r="AD16" s="287">
        <v>47</v>
      </c>
      <c r="AE16" s="287">
        <f>SUM(AE8:AE15)</f>
        <v>253</v>
      </c>
      <c r="AF16" s="287">
        <f>SUM(AF8:AF15)</f>
        <v>744</v>
      </c>
      <c r="AG16" s="287">
        <f t="shared" ref="AG16:AK16" si="18">SUM(AG8:AG15)</f>
        <v>739</v>
      </c>
      <c r="AH16" s="287">
        <f t="shared" si="18"/>
        <v>10</v>
      </c>
      <c r="AI16" s="287">
        <f t="shared" si="18"/>
        <v>10</v>
      </c>
      <c r="AJ16" s="287">
        <f t="shared" si="18"/>
        <v>266</v>
      </c>
      <c r="AK16" s="287">
        <f t="shared" si="18"/>
        <v>266</v>
      </c>
      <c r="AL16" s="291">
        <f>SUM(AL8:AL15)</f>
        <v>74</v>
      </c>
      <c r="AM16" s="291">
        <f>SUM(AM8:AM15)</f>
        <v>17</v>
      </c>
      <c r="AN16" s="291">
        <f t="shared" ref="AN16:AQ16" si="19">SUM(AN8:AN15)</f>
        <v>10</v>
      </c>
      <c r="AO16" s="291">
        <f t="shared" si="19"/>
        <v>6</v>
      </c>
      <c r="AP16" s="291">
        <f t="shared" si="19"/>
        <v>0</v>
      </c>
      <c r="AQ16" s="291">
        <f t="shared" si="19"/>
        <v>13</v>
      </c>
    </row>
    <row r="17" spans="1:43" ht="19.5" x14ac:dyDescent="0.3">
      <c r="A17" s="155"/>
      <c r="B17" s="111"/>
      <c r="C17" s="112"/>
      <c r="D17" s="112"/>
      <c r="E17" s="112"/>
      <c r="F17" s="112"/>
      <c r="G17" s="112"/>
      <c r="H17" s="111"/>
      <c r="I17" s="112"/>
      <c r="J17" s="112"/>
      <c r="K17" s="112"/>
      <c r="L17" s="112"/>
      <c r="M17" s="112"/>
      <c r="N17" s="111"/>
      <c r="O17" s="112"/>
      <c r="P17" s="112"/>
      <c r="Q17" s="112"/>
      <c r="R17" s="112"/>
      <c r="S17" s="112"/>
      <c r="X17" s="190"/>
    </row>
    <row r="18" spans="1:43" ht="56.25" customHeight="1" x14ac:dyDescent="0.2">
      <c r="A18" s="360" t="s">
        <v>102</v>
      </c>
      <c r="B18" s="360"/>
      <c r="C18" s="360"/>
      <c r="D18" s="360"/>
      <c r="E18" s="360"/>
      <c r="F18" s="360"/>
      <c r="G18" s="360"/>
      <c r="H18" s="360"/>
      <c r="I18" s="360"/>
      <c r="J18" s="360"/>
      <c r="K18" s="360"/>
      <c r="L18" s="360"/>
      <c r="M18" s="360"/>
      <c r="N18" s="360"/>
      <c r="O18" s="360"/>
      <c r="P18" s="360"/>
      <c r="Q18" s="360"/>
      <c r="R18" s="360"/>
      <c r="S18" s="360"/>
      <c r="T18" s="360"/>
      <c r="U18" s="360"/>
      <c r="X18" s="360" t="s">
        <v>102</v>
      </c>
      <c r="Y18" s="360"/>
      <c r="Z18" s="360"/>
      <c r="AA18" s="360"/>
      <c r="AB18" s="360"/>
      <c r="AC18" s="360"/>
      <c r="AD18" s="360"/>
      <c r="AE18" s="360"/>
      <c r="AF18" s="360"/>
      <c r="AG18" s="360"/>
      <c r="AH18" s="360"/>
      <c r="AI18" s="360"/>
      <c r="AJ18" s="360"/>
      <c r="AK18" s="360"/>
      <c r="AL18" s="360"/>
      <c r="AM18" s="360"/>
      <c r="AN18" s="360"/>
      <c r="AO18" s="360"/>
      <c r="AP18" s="360"/>
      <c r="AQ18" s="360"/>
    </row>
    <row r="19" spans="1:43" s="296" customFormat="1" ht="52.5" x14ac:dyDescent="0.3">
      <c r="A19" s="297" t="s">
        <v>417</v>
      </c>
      <c r="B19" s="297">
        <v>2018</v>
      </c>
      <c r="C19" s="298" t="s">
        <v>404</v>
      </c>
      <c r="D19" s="297">
        <v>2019</v>
      </c>
      <c r="E19" s="185">
        <v>2020</v>
      </c>
      <c r="F19" s="297">
        <v>2021</v>
      </c>
      <c r="G19" s="299" t="s">
        <v>419</v>
      </c>
      <c r="H19" s="185">
        <v>2022</v>
      </c>
      <c r="I19" s="185"/>
      <c r="J19" s="300" t="s">
        <v>416</v>
      </c>
      <c r="K19" s="301">
        <v>2018</v>
      </c>
      <c r="L19" s="302" t="s">
        <v>8</v>
      </c>
      <c r="M19" s="301">
        <v>2019</v>
      </c>
      <c r="N19" s="301">
        <v>2020</v>
      </c>
      <c r="O19" s="301">
        <v>2021</v>
      </c>
      <c r="P19" s="301">
        <v>2022</v>
      </c>
      <c r="Q19" s="303">
        <v>2023</v>
      </c>
      <c r="R19" s="303">
        <v>2024</v>
      </c>
      <c r="S19" s="303">
        <v>2025</v>
      </c>
      <c r="T19" s="303">
        <v>2026</v>
      </c>
      <c r="U19" s="303">
        <v>2027</v>
      </c>
      <c r="V19" s="185"/>
      <c r="W19" s="185"/>
    </row>
    <row r="20" spans="1:43" s="296" customFormat="1" ht="36.6" customHeight="1" x14ac:dyDescent="0.2">
      <c r="A20" s="154" t="s">
        <v>379</v>
      </c>
      <c r="B20" s="304">
        <v>3374</v>
      </c>
      <c r="C20" s="305">
        <f>B20/13079*100</f>
        <v>25.797079287407293</v>
      </c>
      <c r="D20" s="306">
        <f>48*C20%+B20</f>
        <v>3386.3825980579554</v>
      </c>
      <c r="E20" s="307">
        <f>12969*C20%</f>
        <v>3345.6232127838516</v>
      </c>
      <c r="F20" s="308">
        <f>$F$28*C20%</f>
        <v>3415.7912684455996</v>
      </c>
      <c r="G20" s="185">
        <f>240-240</f>
        <v>0</v>
      </c>
      <c r="H20" s="309">
        <f>F20-G20</f>
        <v>3415.7912684455996</v>
      </c>
      <c r="I20" s="185"/>
      <c r="J20" s="154" t="s">
        <v>395</v>
      </c>
      <c r="K20" s="182">
        <v>714.91470127380796</v>
      </c>
      <c r="L20" s="310">
        <f>K20/K28*100</f>
        <v>16.038467779558228</v>
      </c>
      <c r="M20" s="311">
        <f>4614.897*L20%</f>
        <v>740.15876840479939</v>
      </c>
      <c r="N20" s="311">
        <f>4809.94*L20%</f>
        <v>771.44067711608307</v>
      </c>
      <c r="O20" s="311">
        <f>$O$29*L20%</f>
        <v>830.29166252366633</v>
      </c>
      <c r="P20" s="311">
        <f>$P$29*L20%</f>
        <v>817.46088830001975</v>
      </c>
      <c r="Q20" s="311">
        <f>$Q$29*L20%</f>
        <v>788.84975720951888</v>
      </c>
      <c r="R20" s="311">
        <f>$R$29*L20%</f>
        <v>791.21630648114751</v>
      </c>
      <c r="S20" s="312">
        <f>$S$29*L20%</f>
        <v>799.91968585244001</v>
      </c>
      <c r="T20" s="312"/>
      <c r="U20" s="312"/>
      <c r="V20" s="185"/>
      <c r="W20" s="185"/>
    </row>
    <row r="21" spans="1:43" s="296" customFormat="1" ht="31.5" x14ac:dyDescent="0.2">
      <c r="A21" s="154" t="s">
        <v>380</v>
      </c>
      <c r="B21" s="304">
        <v>8653</v>
      </c>
      <c r="C21" s="305">
        <f t="shared" ref="C21:C27" si="20">B21/13079*100</f>
        <v>66.1594923159263</v>
      </c>
      <c r="D21" s="306">
        <f>48*C21%+B21</f>
        <v>8684.7565563116441</v>
      </c>
      <c r="E21" s="307">
        <f>12969*C21%</f>
        <v>8580.2245584524826</v>
      </c>
      <c r="F21" s="308">
        <f t="shared" ref="F21:F27" si="21">$F$28*C21%</f>
        <v>8760.1783775518015</v>
      </c>
      <c r="G21" s="185">
        <v>0</v>
      </c>
      <c r="H21" s="309">
        <f t="shared" ref="H21:H28" si="22">F21-G21</f>
        <v>8760.1783775518015</v>
      </c>
      <c r="I21" s="185"/>
      <c r="J21" s="154" t="s">
        <v>396</v>
      </c>
      <c r="K21" s="182">
        <v>3181.8038427212427</v>
      </c>
      <c r="L21" s="310">
        <f>K21/K28*100</f>
        <v>71.380905052635839</v>
      </c>
      <c r="M21" s="311">
        <f t="shared" ref="M21:M27" si="23">4614.897*L21%</f>
        <v>3294.1552458469396</v>
      </c>
      <c r="N21" s="311">
        <f>4809.94*L21%</f>
        <v>3433.3787044887517</v>
      </c>
      <c r="O21" s="311">
        <f t="shared" ref="O21:O28" si="24">$O$29*L21%</f>
        <v>3695.3012683752422</v>
      </c>
      <c r="P21" s="311">
        <f t="shared" ref="P21:P27" si="25">$P$29*L21%</f>
        <v>3638.1965443331333</v>
      </c>
      <c r="Q21" s="311">
        <f t="shared" ref="Q21:Q28" si="26">$Q$29*L21%</f>
        <v>3510.8596652814731</v>
      </c>
      <c r="R21" s="311">
        <f t="shared" ref="R21:R28" si="27">$R$29*L21%</f>
        <v>3521.3922442773178</v>
      </c>
      <c r="S21" s="312">
        <f t="shared" ref="S21:S28" si="28">$S$29*L21%</f>
        <v>3560.1275589643678</v>
      </c>
      <c r="T21" s="312"/>
      <c r="U21" s="312"/>
      <c r="V21" s="185"/>
      <c r="W21" s="185"/>
    </row>
    <row r="22" spans="1:43" s="296" customFormat="1" ht="31.5" x14ac:dyDescent="0.2">
      <c r="A22" s="154" t="s">
        <v>381</v>
      </c>
      <c r="B22" s="304">
        <v>768</v>
      </c>
      <c r="C22" s="305">
        <f t="shared" si="20"/>
        <v>5.8720085633458217</v>
      </c>
      <c r="D22" s="306">
        <f>48*C22%+B22</f>
        <v>770.81856411040599</v>
      </c>
      <c r="E22" s="307">
        <f t="shared" ref="E22:E27" si="29">12969*C22%</f>
        <v>761.54079058031959</v>
      </c>
      <c r="F22" s="308">
        <f t="shared" si="21"/>
        <v>777.51265387262026</v>
      </c>
      <c r="G22" s="185">
        <v>0</v>
      </c>
      <c r="H22" s="309">
        <f t="shared" si="22"/>
        <v>777.51265387262026</v>
      </c>
      <c r="I22" s="185"/>
      <c r="J22" s="154" t="s">
        <v>397</v>
      </c>
      <c r="K22" s="182">
        <v>390.49801221070561</v>
      </c>
      <c r="L22" s="310">
        <f>K22/K28*100</f>
        <v>8.7604713900326558</v>
      </c>
      <c r="M22" s="311">
        <f t="shared" si="23"/>
        <v>404.28673136447537</v>
      </c>
      <c r="N22" s="311">
        <f t="shared" ref="N22:N28" si="30">4809.94*L22%</f>
        <v>421.37341757773675</v>
      </c>
      <c r="O22" s="311">
        <f t="shared" si="24"/>
        <v>453.5187809019983</v>
      </c>
      <c r="P22" s="311">
        <f t="shared" si="25"/>
        <v>446.5104037899722</v>
      </c>
      <c r="Q22" s="311">
        <f t="shared" si="26"/>
        <v>430.88253965732309</v>
      </c>
      <c r="R22" s="311">
        <f t="shared" si="27"/>
        <v>432.17518727629511</v>
      </c>
      <c r="S22" s="312">
        <f t="shared" si="28"/>
        <v>436.92911433633429</v>
      </c>
      <c r="T22" s="312"/>
      <c r="U22" s="312"/>
      <c r="V22" s="185"/>
      <c r="W22" s="185"/>
    </row>
    <row r="23" spans="1:43" s="296" customFormat="1" ht="31.5" x14ac:dyDescent="0.2">
      <c r="A23" s="154" t="s">
        <v>382</v>
      </c>
      <c r="B23" s="304">
        <v>129</v>
      </c>
      <c r="C23" s="305">
        <f t="shared" si="20"/>
        <v>0.98631393837449355</v>
      </c>
      <c r="D23" s="306">
        <f t="shared" ref="D23:D27" si="31">48*C23%+B23</f>
        <v>129.47343069041975</v>
      </c>
      <c r="E23" s="307">
        <f t="shared" si="29"/>
        <v>127.91505466778807</v>
      </c>
      <c r="F23" s="308">
        <f t="shared" si="21"/>
        <v>130.59782858016669</v>
      </c>
      <c r="G23" s="185">
        <v>6</v>
      </c>
      <c r="H23" s="309">
        <f t="shared" si="22"/>
        <v>124.59782858016669</v>
      </c>
      <c r="I23" s="185"/>
      <c r="J23" s="154" t="s">
        <v>398</v>
      </c>
      <c r="K23" s="182">
        <v>41.353097553802151</v>
      </c>
      <c r="L23" s="310">
        <f>K23/K28*100</f>
        <v>0.92771951887385651</v>
      </c>
      <c r="M23" s="311">
        <f t="shared" si="23"/>
        <v>42.813300244924037</v>
      </c>
      <c r="N23" s="311">
        <f t="shared" si="30"/>
        <v>44.622752226121172</v>
      </c>
      <c r="O23" s="311">
        <f t="shared" si="24"/>
        <v>48.026893358428218</v>
      </c>
      <c r="P23" s="311">
        <f t="shared" si="25"/>
        <v>47.284717743329132</v>
      </c>
      <c r="Q23" s="311">
        <f t="shared" si="26"/>
        <v>45.629752622312608</v>
      </c>
      <c r="R23" s="311">
        <f t="shared" si="27"/>
        <v>45.766641880179549</v>
      </c>
      <c r="S23" s="312">
        <f t="shared" si="28"/>
        <v>46.27007494086152</v>
      </c>
      <c r="T23" s="312"/>
      <c r="U23" s="312"/>
      <c r="V23" s="185"/>
      <c r="W23" s="185"/>
    </row>
    <row r="24" spans="1:43" s="296" customFormat="1" ht="31.5" x14ac:dyDescent="0.2">
      <c r="A24" s="154" t="s">
        <v>383</v>
      </c>
      <c r="B24" s="304">
        <v>37</v>
      </c>
      <c r="C24" s="305">
        <f t="shared" si="20"/>
        <v>0.28289624589035861</v>
      </c>
      <c r="D24" s="306">
        <f t="shared" si="31"/>
        <v>37.135790198027372</v>
      </c>
      <c r="E24" s="307">
        <f t="shared" si="29"/>
        <v>36.688814129520608</v>
      </c>
      <c r="F24" s="308">
        <f t="shared" si="21"/>
        <v>37.458291918342383</v>
      </c>
      <c r="G24" s="185">
        <v>2</v>
      </c>
      <c r="H24" s="309">
        <f t="shared" si="22"/>
        <v>35.458291918342383</v>
      </c>
      <c r="I24" s="185"/>
      <c r="J24" s="154" t="s">
        <v>399</v>
      </c>
      <c r="K24" s="182">
        <v>81.609925508610345</v>
      </c>
      <c r="L24" s="310">
        <f>K24/K28*100</f>
        <v>1.8308452161213764</v>
      </c>
      <c r="M24" s="311">
        <f t="shared" si="23"/>
        <v>84.491620953428921</v>
      </c>
      <c r="N24" s="311">
        <f t="shared" si="30"/>
        <v>88.062556388308522</v>
      </c>
      <c r="O24" s="311">
        <f t="shared" si="24"/>
        <v>94.780594955236424</v>
      </c>
      <c r="P24" s="311">
        <f t="shared" si="25"/>
        <v>93.315918782339324</v>
      </c>
      <c r="Q24" s="311">
        <f t="shared" si="26"/>
        <v>90.04986162495743</v>
      </c>
      <c r="R24" s="311">
        <f t="shared" si="27"/>
        <v>90.320011209832316</v>
      </c>
      <c r="S24" s="312">
        <f t="shared" si="28"/>
        <v>91.31353133314046</v>
      </c>
      <c r="T24" s="312"/>
      <c r="U24" s="312"/>
      <c r="V24" s="185"/>
      <c r="W24" s="185"/>
    </row>
    <row r="25" spans="1:43" s="296" customFormat="1" ht="31.5" x14ac:dyDescent="0.2">
      <c r="A25" s="154" t="s">
        <v>384</v>
      </c>
      <c r="B25" s="313">
        <v>80</v>
      </c>
      <c r="C25" s="305">
        <f t="shared" si="20"/>
        <v>0.6116675586818564</v>
      </c>
      <c r="D25" s="306">
        <f t="shared" si="31"/>
        <v>80.293600428167295</v>
      </c>
      <c r="E25" s="307">
        <f t="shared" si="29"/>
        <v>79.32716568544997</v>
      </c>
      <c r="F25" s="308">
        <f t="shared" si="21"/>
        <v>80.990901445064608</v>
      </c>
      <c r="G25" s="185">
        <v>0</v>
      </c>
      <c r="H25" s="309">
        <f t="shared" si="22"/>
        <v>80.990901445064608</v>
      </c>
      <c r="I25" s="185"/>
      <c r="J25" s="154" t="s">
        <v>400</v>
      </c>
      <c r="K25" s="182">
        <v>19.800663272550249</v>
      </c>
      <c r="L25" s="310">
        <f>K25/K28*100</f>
        <v>0.4442100565911441</v>
      </c>
      <c r="M25" s="311">
        <f t="shared" si="23"/>
        <v>20.499836575323013</v>
      </c>
      <c r="N25" s="311">
        <f t="shared" si="30"/>
        <v>21.366237196000075</v>
      </c>
      <c r="O25" s="311">
        <f t="shared" si="24"/>
        <v>22.996205838744526</v>
      </c>
      <c r="P25" s="311">
        <f t="shared" si="25"/>
        <v>22.640837793471611</v>
      </c>
      <c r="Q25" s="311">
        <f t="shared" si="26"/>
        <v>21.8484084707001</v>
      </c>
      <c r="R25" s="311">
        <f t="shared" si="27"/>
        <v>21.913953696112205</v>
      </c>
      <c r="S25" s="312">
        <f t="shared" si="28"/>
        <v>22.155007186769435</v>
      </c>
      <c r="T25" s="312"/>
      <c r="U25" s="312"/>
      <c r="V25" s="185"/>
      <c r="W25" s="185"/>
    </row>
    <row r="26" spans="1:43" s="296" customFormat="1" ht="31.5" x14ac:dyDescent="0.2">
      <c r="A26" s="154" t="s">
        <v>385</v>
      </c>
      <c r="B26" s="304">
        <v>33</v>
      </c>
      <c r="C26" s="305">
        <f t="shared" si="20"/>
        <v>0.25231286795626579</v>
      </c>
      <c r="D26" s="306">
        <f t="shared" si="31"/>
        <v>33.121110176619005</v>
      </c>
      <c r="E26" s="307">
        <f t="shared" si="29"/>
        <v>32.722455845248106</v>
      </c>
      <c r="F26" s="308">
        <f t="shared" si="21"/>
        <v>33.408746846089151</v>
      </c>
      <c r="G26" s="185">
        <v>2</v>
      </c>
      <c r="H26" s="309">
        <f t="shared" si="22"/>
        <v>31.408746846089151</v>
      </c>
      <c r="I26" s="185"/>
      <c r="J26" s="154" t="s">
        <v>401</v>
      </c>
      <c r="K26" s="182">
        <v>9.595184428307741</v>
      </c>
      <c r="L26" s="310">
        <f>K26/K28*100</f>
        <v>0.21525932536865375</v>
      </c>
      <c r="M26" s="311">
        <f t="shared" si="23"/>
        <v>9.93399614865824</v>
      </c>
      <c r="N26" s="311">
        <f t="shared" si="30"/>
        <v>10.353844394637022</v>
      </c>
      <c r="O26" s="311">
        <f t="shared" si="24"/>
        <v>11.143709336240926</v>
      </c>
      <c r="P26" s="311">
        <f t="shared" si="25"/>
        <v>10.971501875946004</v>
      </c>
      <c r="Q26" s="311">
        <f t="shared" si="26"/>
        <v>10.587499310287892</v>
      </c>
      <c r="R26" s="311">
        <f t="shared" si="27"/>
        <v>10.619261808218758</v>
      </c>
      <c r="S26" s="312">
        <f t="shared" si="28"/>
        <v>10.736073688109162</v>
      </c>
      <c r="T26" s="312"/>
      <c r="U26" s="312"/>
      <c r="V26" s="185"/>
      <c r="W26" s="185"/>
    </row>
    <row r="27" spans="1:43" s="296" customFormat="1" ht="31.5" x14ac:dyDescent="0.2">
      <c r="A27" s="154" t="s">
        <v>386</v>
      </c>
      <c r="B27" s="313">
        <v>5</v>
      </c>
      <c r="C27" s="305">
        <f t="shared" si="20"/>
        <v>3.8229222417616025E-2</v>
      </c>
      <c r="D27" s="306">
        <f t="shared" si="31"/>
        <v>5.0183500267604559</v>
      </c>
      <c r="E27" s="307">
        <f t="shared" si="29"/>
        <v>4.9579478553406231</v>
      </c>
      <c r="F27" s="308">
        <f t="shared" si="21"/>
        <v>5.061931340316538</v>
      </c>
      <c r="G27" s="185">
        <v>0</v>
      </c>
      <c r="H27" s="309">
        <f t="shared" si="22"/>
        <v>5.061931340316538</v>
      </c>
      <c r="I27" s="185"/>
      <c r="J27" s="154" t="s">
        <v>402</v>
      </c>
      <c r="K27" s="182">
        <v>17.924573030973001</v>
      </c>
      <c r="L27" s="310">
        <f>K27/K28*100</f>
        <v>0.40212166081823891</v>
      </c>
      <c r="M27" s="311">
        <f t="shared" si="23"/>
        <v>18.557500461451085</v>
      </c>
      <c r="N27" s="311">
        <f t="shared" si="30"/>
        <v>19.341810612360799</v>
      </c>
      <c r="O27" s="311">
        <f t="shared" si="24"/>
        <v>20.817341586900014</v>
      </c>
      <c r="P27" s="311">
        <f t="shared" si="25"/>
        <v>20.49564425824542</v>
      </c>
      <c r="Q27" s="311">
        <f t="shared" si="26"/>
        <v>19.778296709206828</v>
      </c>
      <c r="R27" s="311">
        <f t="shared" si="27"/>
        <v>19.837631599334451</v>
      </c>
      <c r="S27" s="312">
        <f t="shared" si="28"/>
        <v>20.055845546927127</v>
      </c>
      <c r="T27" s="312"/>
      <c r="U27" s="312"/>
      <c r="V27" s="185"/>
      <c r="W27" s="185"/>
      <c r="AB27" s="367"/>
      <c r="AC27" s="368"/>
    </row>
    <row r="28" spans="1:43" s="296" customFormat="1" ht="18.75" x14ac:dyDescent="0.2">
      <c r="A28" s="314"/>
      <c r="B28" s="314">
        <f>SUM(B20:B27)</f>
        <v>13079</v>
      </c>
      <c r="C28" s="310">
        <f>SUM(C20:C27)</f>
        <v>100</v>
      </c>
      <c r="D28" s="315">
        <f>SUM(D20:D27)</f>
        <v>13127</v>
      </c>
      <c r="E28" s="307">
        <f>SUM(E20:E27)</f>
        <v>12969.000000000004</v>
      </c>
      <c r="F28" s="185">
        <v>13241</v>
      </c>
      <c r="G28" s="185">
        <f>SUM(G20:G27)</f>
        <v>10</v>
      </c>
      <c r="H28" s="309">
        <f t="shared" si="22"/>
        <v>13231</v>
      </c>
      <c r="I28" s="185"/>
      <c r="J28" s="314"/>
      <c r="K28" s="316">
        <f>SUM(K20:K27)</f>
        <v>4457.5</v>
      </c>
      <c r="L28" s="314">
        <f>SUM(L20:L27)</f>
        <v>100</v>
      </c>
      <c r="M28" s="311">
        <f>SUM(M20:M27)</f>
        <v>4614.896999999999</v>
      </c>
      <c r="N28" s="311">
        <f t="shared" si="30"/>
        <v>4809.9399999999996</v>
      </c>
      <c r="O28" s="311">
        <f t="shared" si="24"/>
        <v>5176.8764568764573</v>
      </c>
      <c r="P28" s="311">
        <f>$P$29*L28%</f>
        <v>5096.8764568764573</v>
      </c>
      <c r="Q28" s="311">
        <f t="shared" si="26"/>
        <v>4918.4857808857805</v>
      </c>
      <c r="R28" s="311">
        <f t="shared" si="27"/>
        <v>4933.2412382284383</v>
      </c>
      <c r="S28" s="312">
        <f t="shared" si="28"/>
        <v>4987.5068918489505</v>
      </c>
      <c r="T28" s="312"/>
      <c r="U28" s="312"/>
      <c r="V28" s="185"/>
      <c r="W28" s="185"/>
    </row>
    <row r="29" spans="1:43" s="296" customFormat="1" ht="18.75" x14ac:dyDescent="0.25">
      <c r="A29" s="314"/>
      <c r="B29" s="314"/>
      <c r="C29" s="314"/>
      <c r="D29" s="314"/>
      <c r="E29" s="314"/>
      <c r="F29" s="185"/>
      <c r="G29" s="314" t="s">
        <v>418</v>
      </c>
      <c r="H29" s="314"/>
      <c r="I29" s="314"/>
      <c r="J29" s="317" t="s">
        <v>403</v>
      </c>
      <c r="K29" s="314"/>
      <c r="L29" s="314"/>
      <c r="M29" s="314"/>
      <c r="N29" s="318">
        <v>4809.9380000000001</v>
      </c>
      <c r="O29" s="319">
        <f>'Прогноз 2022-2024 '!D148</f>
        <v>5176.8764568764573</v>
      </c>
      <c r="P29" s="319">
        <f>'Прогноз 2022-2024 '!E148</f>
        <v>5096.8764568764573</v>
      </c>
      <c r="Q29" s="319">
        <f>'Прогноз 2022-2024 '!F148</f>
        <v>4918.4857808857805</v>
      </c>
      <c r="R29" s="319">
        <f>'Прогноз 2022-2024 '!H148</f>
        <v>4933.2412382284383</v>
      </c>
      <c r="S29" s="320">
        <f>'Прогноз 2022-2024 '!I148</f>
        <v>4987.5068918489505</v>
      </c>
      <c r="T29" s="185"/>
      <c r="U29" s="185"/>
      <c r="V29" s="185"/>
      <c r="W29" s="185"/>
    </row>
    <row r="30" spans="1:43" s="296" customFormat="1" x14ac:dyDescent="0.2">
      <c r="A30" s="185"/>
      <c r="B30" s="185"/>
      <c r="C30" s="185"/>
      <c r="D30" s="185"/>
      <c r="E30" s="185"/>
      <c r="F30" s="321"/>
      <c r="G30" s="321"/>
      <c r="H30" s="321"/>
      <c r="I30" s="185"/>
      <c r="J30" s="185"/>
      <c r="K30" s="185"/>
      <c r="L30" s="185"/>
      <c r="M30" s="185"/>
      <c r="N30" s="185"/>
      <c r="O30" s="185"/>
      <c r="P30" s="185"/>
      <c r="Q30" s="185"/>
      <c r="R30" s="185"/>
      <c r="S30" s="185"/>
      <c r="T30" s="185"/>
      <c r="U30" s="185"/>
      <c r="V30" s="185"/>
      <c r="W30" s="185"/>
    </row>
    <row r="31" spans="1:43" s="296" customFormat="1" x14ac:dyDescent="0.2">
      <c r="A31" s="185"/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V31" s="185"/>
      <c r="W31" s="185"/>
    </row>
    <row r="32" spans="1:43" s="296" customFormat="1" x14ac:dyDescent="0.2">
      <c r="A32" s="185"/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  <c r="S32" s="185"/>
      <c r="T32" s="185"/>
      <c r="U32" s="185"/>
      <c r="V32" s="185"/>
      <c r="W32" s="185"/>
    </row>
    <row r="33" spans="1:23" x14ac:dyDescent="0.2">
      <c r="A33" s="185"/>
      <c r="B33" s="185"/>
      <c r="C33" s="185"/>
      <c r="D33" s="185"/>
      <c r="E33" s="185"/>
      <c r="F33" s="185"/>
      <c r="G33" s="185"/>
      <c r="H33" s="185"/>
      <c r="I33" s="185"/>
      <c r="J33" s="185"/>
      <c r="K33" s="185"/>
      <c r="L33" s="185"/>
      <c r="M33" s="185"/>
      <c r="N33" s="185"/>
      <c r="O33" s="185"/>
      <c r="P33" s="185"/>
      <c r="Q33" s="185"/>
      <c r="R33" s="185"/>
      <c r="S33" s="185"/>
      <c r="T33" s="185"/>
      <c r="U33" s="185"/>
      <c r="V33" s="185"/>
      <c r="W33" s="185"/>
    </row>
    <row r="34" spans="1:23" x14ac:dyDescent="0.2">
      <c r="A34" s="185"/>
      <c r="B34" s="185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  <c r="S34" s="185"/>
      <c r="T34" s="185"/>
      <c r="U34" s="185"/>
      <c r="V34" s="185"/>
      <c r="W34" s="185"/>
    </row>
    <row r="35" spans="1:23" x14ac:dyDescent="0.2">
      <c r="A35" s="185"/>
      <c r="B35" s="185"/>
      <c r="C35" s="185"/>
      <c r="D35" s="185"/>
      <c r="E35" s="185"/>
      <c r="F35" s="185"/>
      <c r="G35" s="185"/>
      <c r="H35" s="185"/>
      <c r="I35" s="185"/>
      <c r="J35" s="185"/>
      <c r="K35" s="185"/>
      <c r="L35" s="185"/>
      <c r="M35" s="185"/>
      <c r="N35" s="185"/>
      <c r="O35" s="185"/>
      <c r="P35" s="185"/>
      <c r="Q35" s="185"/>
      <c r="R35" s="185"/>
      <c r="S35" s="185"/>
      <c r="T35" s="185"/>
      <c r="U35" s="185"/>
      <c r="V35" s="185"/>
      <c r="W35" s="185"/>
    </row>
    <row r="36" spans="1:23" x14ac:dyDescent="0.2">
      <c r="A36" s="185"/>
      <c r="B36" s="185"/>
      <c r="C36" s="185"/>
      <c r="D36" s="185"/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85"/>
      <c r="P36" s="185"/>
      <c r="Q36" s="185"/>
      <c r="R36" s="185"/>
      <c r="S36" s="185"/>
      <c r="T36" s="185"/>
      <c r="U36" s="185"/>
      <c r="V36" s="185"/>
      <c r="W36" s="185"/>
    </row>
    <row r="37" spans="1:23" x14ac:dyDescent="0.2">
      <c r="A37" s="185"/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85"/>
      <c r="M37" s="185"/>
      <c r="N37" s="185"/>
      <c r="O37" s="185"/>
      <c r="P37" s="185"/>
      <c r="Q37" s="185"/>
      <c r="R37" s="185"/>
      <c r="S37" s="185"/>
      <c r="T37" s="185"/>
      <c r="U37" s="185"/>
      <c r="V37" s="185"/>
      <c r="W37" s="185"/>
    </row>
    <row r="38" spans="1:23" x14ac:dyDescent="0.2">
      <c r="A38" s="185"/>
      <c r="B38" s="185"/>
      <c r="C38" s="185"/>
      <c r="D38" s="185"/>
      <c r="E38" s="185"/>
      <c r="F38" s="185"/>
      <c r="G38" s="185"/>
      <c r="H38" s="185"/>
      <c r="I38" s="185"/>
      <c r="J38" s="185"/>
      <c r="K38" s="185"/>
      <c r="L38" s="185"/>
      <c r="M38" s="185"/>
      <c r="N38" s="185"/>
      <c r="O38" s="185"/>
      <c r="P38" s="185"/>
      <c r="Q38" s="185"/>
      <c r="R38" s="185"/>
      <c r="S38" s="185"/>
      <c r="T38" s="185"/>
      <c r="U38" s="185"/>
      <c r="V38" s="185"/>
      <c r="W38" s="185"/>
    </row>
    <row r="39" spans="1:23" x14ac:dyDescent="0.2">
      <c r="A39" s="185"/>
      <c r="B39" s="185"/>
      <c r="C39" s="185"/>
      <c r="D39" s="185"/>
      <c r="E39" s="185"/>
      <c r="F39" s="185"/>
      <c r="G39" s="185"/>
      <c r="H39" s="185"/>
      <c r="I39" s="185"/>
      <c r="J39" s="185"/>
      <c r="K39" s="185"/>
      <c r="L39" s="185"/>
      <c r="M39" s="185"/>
      <c r="N39" s="185"/>
      <c r="O39" s="185"/>
      <c r="P39" s="185"/>
      <c r="Q39" s="185"/>
      <c r="R39" s="185"/>
      <c r="S39" s="185"/>
      <c r="T39" s="185"/>
      <c r="U39" s="185"/>
      <c r="V39" s="185"/>
      <c r="W39" s="185"/>
    </row>
  </sheetData>
  <mergeCells count="55">
    <mergeCell ref="M1:W1"/>
    <mergeCell ref="AM5:AM7"/>
    <mergeCell ref="AN5:AN7"/>
    <mergeCell ref="AO5:AO7"/>
    <mergeCell ref="C6:C7"/>
    <mergeCell ref="V4:W5"/>
    <mergeCell ref="V6:V7"/>
    <mergeCell ref="W6:W7"/>
    <mergeCell ref="AF4:AK4"/>
    <mergeCell ref="AF6:AF7"/>
    <mergeCell ref="AL4:AL7"/>
    <mergeCell ref="E1:G1"/>
    <mergeCell ref="E6:G6"/>
    <mergeCell ref="D6:D7"/>
    <mergeCell ref="AH6:AH7"/>
    <mergeCell ref="AJ5:AK5"/>
    <mergeCell ref="Q6:S6"/>
    <mergeCell ref="N6:N7"/>
    <mergeCell ref="O6:O7"/>
    <mergeCell ref="P6:P7"/>
    <mergeCell ref="H6:H7"/>
    <mergeCell ref="I6:I7"/>
    <mergeCell ref="J6:J7"/>
    <mergeCell ref="AB27:AC27"/>
    <mergeCell ref="B4:G5"/>
    <mergeCell ref="T4:U5"/>
    <mergeCell ref="AF5:AG5"/>
    <mergeCell ref="AJ6:AJ7"/>
    <mergeCell ref="Y4:AE4"/>
    <mergeCell ref="Y5:Y7"/>
    <mergeCell ref="X4:X7"/>
    <mergeCell ref="AA5:AA7"/>
    <mergeCell ref="AB5:AB7"/>
    <mergeCell ref="AC5:AC7"/>
    <mergeCell ref="AD5:AD7"/>
    <mergeCell ref="AE5:AE7"/>
    <mergeCell ref="H4:M5"/>
    <mergeCell ref="AG6:AG7"/>
    <mergeCell ref="N4:S5"/>
    <mergeCell ref="AM1:AQ1"/>
    <mergeCell ref="A18:U18"/>
    <mergeCell ref="AP5:AP7"/>
    <mergeCell ref="AQ5:AQ7"/>
    <mergeCell ref="U6:U7"/>
    <mergeCell ref="T6:T7"/>
    <mergeCell ref="AI6:AI7"/>
    <mergeCell ref="X18:AQ18"/>
    <mergeCell ref="AH5:AI5"/>
    <mergeCell ref="K6:M6"/>
    <mergeCell ref="A4:A7"/>
    <mergeCell ref="B6:B7"/>
    <mergeCell ref="Z5:Z7"/>
    <mergeCell ref="AK6:AK7"/>
    <mergeCell ref="AM4:AQ4"/>
    <mergeCell ref="A2:W2"/>
  </mergeCells>
  <phoneticPr fontId="14" type="noConversion"/>
  <printOptions horizontalCentered="1"/>
  <pageMargins left="0" right="0" top="0.39370078740157483" bottom="0.19685039370078741" header="0" footer="0"/>
  <pageSetup paperSize="9" scale="45" orientation="landscape" horizontalDpi="300" verticalDpi="300" r:id="rId1"/>
  <headerFooter alignWithMargins="0"/>
  <colBreaks count="1" manualBreakCount="1">
    <brk id="23" max="17" man="1"/>
  </col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indexed="50"/>
    <pageSetUpPr fitToPage="1"/>
  </sheetPr>
  <dimension ref="A1:P195"/>
  <sheetViews>
    <sheetView view="pageBreakPreview" zoomScale="75" zoomScaleNormal="75" workbookViewId="0">
      <selection activeCell="G165" sqref="G165"/>
    </sheetView>
  </sheetViews>
  <sheetFormatPr defaultRowHeight="12.75" x14ac:dyDescent="0.2"/>
  <cols>
    <col min="1" max="1" width="5.5703125" customWidth="1"/>
    <col min="2" max="2" width="46.28515625" customWidth="1"/>
    <col min="3" max="3" width="22.7109375" customWidth="1"/>
    <col min="4" max="4" width="14.5703125" customWidth="1"/>
    <col min="5" max="5" width="19.28515625" customWidth="1"/>
    <col min="6" max="6" width="21.140625" customWidth="1"/>
    <col min="7" max="7" width="19.140625" customWidth="1"/>
    <col min="8" max="8" width="20.28515625" customWidth="1"/>
    <col min="9" max="9" width="24" customWidth="1"/>
    <col min="10" max="10" width="32" customWidth="1"/>
    <col min="11" max="11" width="18.7109375" customWidth="1"/>
    <col min="12" max="12" width="16.85546875" customWidth="1"/>
    <col min="13" max="13" width="16.7109375" customWidth="1"/>
    <col min="14" max="14" width="23" customWidth="1"/>
  </cols>
  <sheetData>
    <row r="1" spans="1:16" ht="64.5" customHeight="1" x14ac:dyDescent="0.2">
      <c r="I1" s="392" t="s">
        <v>446</v>
      </c>
      <c r="J1" s="393"/>
      <c r="K1" s="393"/>
      <c r="L1" s="393"/>
      <c r="M1" s="393"/>
      <c r="N1" s="393"/>
      <c r="O1" s="105"/>
      <c r="P1" s="105"/>
    </row>
    <row r="3" spans="1:16" ht="72" customHeight="1" x14ac:dyDescent="0.2">
      <c r="A3" s="395" t="s">
        <v>444</v>
      </c>
      <c r="B3" s="395"/>
      <c r="C3" s="395"/>
      <c r="D3" s="396"/>
      <c r="E3" s="396"/>
      <c r="F3" s="396"/>
      <c r="G3" s="396"/>
      <c r="H3" s="396"/>
      <c r="I3" s="396"/>
      <c r="J3" s="396"/>
      <c r="K3" s="396"/>
      <c r="L3" s="396"/>
      <c r="M3" s="396"/>
      <c r="N3" s="396"/>
    </row>
    <row r="4" spans="1:16" ht="29.25" customHeight="1" x14ac:dyDescent="0.2">
      <c r="A4" s="109"/>
      <c r="B4" s="109"/>
      <c r="C4" s="109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</row>
    <row r="5" spans="1:16" ht="63" customHeight="1" x14ac:dyDescent="0.2">
      <c r="A5" s="399" t="s">
        <v>67</v>
      </c>
      <c r="B5" s="399" t="s">
        <v>86</v>
      </c>
      <c r="C5" s="399" t="s">
        <v>80</v>
      </c>
      <c r="D5" s="399" t="s">
        <v>81</v>
      </c>
      <c r="E5" s="399" t="s">
        <v>91</v>
      </c>
      <c r="F5" s="399"/>
      <c r="G5" s="399" t="s">
        <v>82</v>
      </c>
      <c r="H5" s="399" t="s">
        <v>83</v>
      </c>
      <c r="I5" s="399" t="s">
        <v>84</v>
      </c>
      <c r="J5" s="399"/>
      <c r="K5" s="399"/>
      <c r="L5" s="399"/>
      <c r="M5" s="397" t="s">
        <v>92</v>
      </c>
      <c r="N5" s="397" t="s">
        <v>85</v>
      </c>
    </row>
    <row r="6" spans="1:16" ht="46.5" customHeight="1" x14ac:dyDescent="0.2">
      <c r="A6" s="399"/>
      <c r="B6" s="399"/>
      <c r="C6" s="399"/>
      <c r="D6" s="399"/>
      <c r="E6" s="399"/>
      <c r="F6" s="399"/>
      <c r="G6" s="399"/>
      <c r="H6" s="399"/>
      <c r="I6" s="126" t="s">
        <v>88</v>
      </c>
      <c r="J6" s="126" t="s">
        <v>89</v>
      </c>
      <c r="K6" s="126" t="s">
        <v>90</v>
      </c>
      <c r="L6" s="126" t="s">
        <v>87</v>
      </c>
      <c r="M6" s="398"/>
      <c r="N6" s="398"/>
    </row>
    <row r="7" spans="1:16" ht="27.75" customHeight="1" x14ac:dyDescent="0.2">
      <c r="A7" s="400">
        <v>1</v>
      </c>
      <c r="B7" s="415" t="s">
        <v>290</v>
      </c>
      <c r="C7" s="394" t="s">
        <v>291</v>
      </c>
      <c r="D7" s="394" t="s">
        <v>292</v>
      </c>
      <c r="E7" s="380" t="s">
        <v>420</v>
      </c>
      <c r="F7" s="380"/>
      <c r="G7" s="204">
        <v>40</v>
      </c>
      <c r="H7" s="204">
        <v>75</v>
      </c>
      <c r="I7" s="204" t="s">
        <v>293</v>
      </c>
      <c r="J7" s="212" t="s">
        <v>294</v>
      </c>
      <c r="K7" s="210"/>
      <c r="L7" s="210"/>
      <c r="M7" s="210">
        <v>11.25</v>
      </c>
      <c r="N7" s="213">
        <v>20</v>
      </c>
    </row>
    <row r="8" spans="1:16" ht="15.75" customHeight="1" x14ac:dyDescent="0.2">
      <c r="A8" s="400"/>
      <c r="B8" s="416"/>
      <c r="C8" s="394"/>
      <c r="D8" s="394"/>
      <c r="E8" s="380">
        <v>2022</v>
      </c>
      <c r="F8" s="380">
        <v>2013</v>
      </c>
      <c r="G8" s="204"/>
      <c r="H8" s="204"/>
      <c r="I8" s="204"/>
      <c r="J8" s="204"/>
      <c r="K8" s="210"/>
      <c r="L8" s="210"/>
      <c r="M8" s="210"/>
      <c r="N8" s="213"/>
    </row>
    <row r="9" spans="1:16" ht="15.75" customHeight="1" x14ac:dyDescent="0.2">
      <c r="A9" s="400"/>
      <c r="B9" s="416"/>
      <c r="C9" s="394"/>
      <c r="D9" s="394"/>
      <c r="E9" s="380">
        <v>2023</v>
      </c>
      <c r="F9" s="380">
        <v>2013</v>
      </c>
      <c r="G9" s="204">
        <v>18</v>
      </c>
      <c r="H9" s="204">
        <v>35</v>
      </c>
      <c r="I9" s="204">
        <v>18</v>
      </c>
      <c r="J9" s="204">
        <v>500</v>
      </c>
      <c r="K9" s="210"/>
      <c r="L9" s="210"/>
      <c r="M9" s="210">
        <v>3</v>
      </c>
      <c r="N9" s="213"/>
    </row>
    <row r="10" spans="1:16" ht="15.75" customHeight="1" x14ac:dyDescent="0.2">
      <c r="A10" s="400"/>
      <c r="B10" s="416"/>
      <c r="C10" s="394"/>
      <c r="D10" s="394"/>
      <c r="E10" s="380">
        <v>2024</v>
      </c>
      <c r="F10" s="380">
        <v>2013</v>
      </c>
      <c r="G10" s="204">
        <v>11</v>
      </c>
      <c r="H10" s="204">
        <v>20</v>
      </c>
      <c r="I10" s="204">
        <v>22</v>
      </c>
      <c r="J10" s="204">
        <v>600</v>
      </c>
      <c r="K10" s="210"/>
      <c r="L10" s="210"/>
      <c r="M10" s="210">
        <v>3</v>
      </c>
      <c r="N10" s="213">
        <v>10</v>
      </c>
    </row>
    <row r="11" spans="1:16" ht="15.75" customHeight="1" x14ac:dyDescent="0.2">
      <c r="A11" s="400"/>
      <c r="B11" s="416"/>
      <c r="C11" s="394"/>
      <c r="D11" s="394"/>
      <c r="E11" s="380">
        <v>2025</v>
      </c>
      <c r="F11" s="380">
        <v>2013</v>
      </c>
      <c r="G11" s="204">
        <v>11</v>
      </c>
      <c r="H11" s="204">
        <v>20</v>
      </c>
      <c r="I11" s="204">
        <v>30</v>
      </c>
      <c r="J11" s="204">
        <v>700</v>
      </c>
      <c r="K11" s="210"/>
      <c r="L11" s="210"/>
      <c r="M11" s="210">
        <v>5.25</v>
      </c>
      <c r="N11" s="213">
        <v>10</v>
      </c>
    </row>
    <row r="12" spans="1:16" ht="37.5" customHeight="1" x14ac:dyDescent="0.2">
      <c r="A12" s="400">
        <v>2</v>
      </c>
      <c r="B12" s="416"/>
      <c r="C12" s="394" t="s">
        <v>295</v>
      </c>
      <c r="D12" s="394" t="s">
        <v>296</v>
      </c>
      <c r="E12" s="380" t="s">
        <v>420</v>
      </c>
      <c r="F12" s="380"/>
      <c r="G12" s="213">
        <v>85</v>
      </c>
      <c r="H12" s="213">
        <v>120</v>
      </c>
      <c r="I12" s="214"/>
      <c r="J12" s="210"/>
      <c r="K12" s="210"/>
      <c r="L12" s="210"/>
      <c r="M12" s="210"/>
      <c r="N12" s="213">
        <v>40</v>
      </c>
    </row>
    <row r="13" spans="1:16" ht="15.75" customHeight="1" x14ac:dyDescent="0.2">
      <c r="A13" s="400"/>
      <c r="B13" s="416"/>
      <c r="C13" s="394"/>
      <c r="D13" s="394"/>
      <c r="E13" s="380">
        <v>2022</v>
      </c>
      <c r="F13" s="380">
        <v>2013</v>
      </c>
      <c r="G13" s="204"/>
      <c r="H13" s="210"/>
      <c r="I13" s="214"/>
      <c r="J13" s="210"/>
      <c r="K13" s="210"/>
      <c r="L13" s="210"/>
      <c r="M13" s="210"/>
      <c r="N13" s="213"/>
    </row>
    <row r="14" spans="1:16" ht="15.75" customHeight="1" x14ac:dyDescent="0.2">
      <c r="A14" s="400"/>
      <c r="B14" s="416"/>
      <c r="C14" s="394"/>
      <c r="D14" s="394"/>
      <c r="E14" s="380">
        <v>2023</v>
      </c>
      <c r="F14" s="380">
        <v>2013</v>
      </c>
      <c r="G14" s="204"/>
      <c r="H14" s="210"/>
      <c r="I14" s="214"/>
      <c r="J14" s="210"/>
      <c r="K14" s="210"/>
      <c r="L14" s="210"/>
      <c r="M14" s="210"/>
      <c r="N14" s="213"/>
    </row>
    <row r="15" spans="1:16" ht="15.75" customHeight="1" x14ac:dyDescent="0.2">
      <c r="A15" s="400"/>
      <c r="B15" s="416"/>
      <c r="C15" s="394"/>
      <c r="D15" s="394"/>
      <c r="E15" s="380">
        <v>2024</v>
      </c>
      <c r="F15" s="380">
        <v>2013</v>
      </c>
      <c r="G15" s="204">
        <v>85</v>
      </c>
      <c r="H15" s="213">
        <v>35</v>
      </c>
      <c r="I15" s="214"/>
      <c r="J15" s="213">
        <v>300</v>
      </c>
      <c r="K15" s="210"/>
      <c r="L15" s="210"/>
      <c r="M15" s="210"/>
      <c r="N15" s="213">
        <v>40</v>
      </c>
    </row>
    <row r="16" spans="1:16" ht="27" customHeight="1" x14ac:dyDescent="0.2">
      <c r="A16" s="400"/>
      <c r="B16" s="416"/>
      <c r="C16" s="394"/>
      <c r="D16" s="394"/>
      <c r="E16" s="380">
        <v>2025</v>
      </c>
      <c r="F16" s="380">
        <v>2013</v>
      </c>
      <c r="G16" s="204"/>
      <c r="H16" s="213">
        <v>50</v>
      </c>
      <c r="I16" s="214"/>
      <c r="J16" s="213">
        <v>300</v>
      </c>
      <c r="K16" s="210"/>
      <c r="L16" s="210"/>
      <c r="M16" s="210"/>
      <c r="N16" s="213"/>
    </row>
    <row r="17" spans="1:14" ht="39.75" customHeight="1" x14ac:dyDescent="0.2">
      <c r="A17" s="410">
        <v>3</v>
      </c>
      <c r="B17" s="416"/>
      <c r="C17" s="394" t="s">
        <v>297</v>
      </c>
      <c r="D17" s="394" t="s">
        <v>298</v>
      </c>
      <c r="E17" s="380" t="s">
        <v>420</v>
      </c>
      <c r="F17" s="380"/>
      <c r="G17" s="215">
        <v>450</v>
      </c>
      <c r="H17" s="204">
        <v>0</v>
      </c>
      <c r="I17" s="405" t="s">
        <v>299</v>
      </c>
      <c r="J17" s="216"/>
      <c r="K17" s="210"/>
      <c r="L17" s="210"/>
      <c r="M17" s="210"/>
      <c r="N17" s="213">
        <v>100</v>
      </c>
    </row>
    <row r="18" spans="1:14" x14ac:dyDescent="0.2">
      <c r="A18" s="411"/>
      <c r="B18" s="416"/>
      <c r="C18" s="418"/>
      <c r="D18" s="419"/>
      <c r="E18" s="380">
        <v>2022</v>
      </c>
      <c r="F18" s="380">
        <v>2013</v>
      </c>
      <c r="G18" s="204">
        <v>0</v>
      </c>
      <c r="H18" s="204">
        <v>0</v>
      </c>
      <c r="I18" s="406"/>
      <c r="J18" s="210"/>
      <c r="K18" s="210"/>
      <c r="L18" s="210"/>
      <c r="M18" s="210"/>
      <c r="N18" s="213"/>
    </row>
    <row r="19" spans="1:14" x14ac:dyDescent="0.2">
      <c r="A19" s="411"/>
      <c r="B19" s="416"/>
      <c r="C19" s="418"/>
      <c r="D19" s="419"/>
      <c r="E19" s="380">
        <v>2023</v>
      </c>
      <c r="F19" s="380">
        <v>2013</v>
      </c>
      <c r="G19" s="204">
        <v>8.0860000000000003</v>
      </c>
      <c r="H19" s="204">
        <v>0</v>
      </c>
      <c r="I19" s="406"/>
      <c r="J19" s="210"/>
      <c r="K19" s="210"/>
      <c r="L19" s="210"/>
      <c r="M19" s="210"/>
      <c r="N19" s="213"/>
    </row>
    <row r="20" spans="1:14" x14ac:dyDescent="0.2">
      <c r="A20" s="411"/>
      <c r="B20" s="416"/>
      <c r="C20" s="418"/>
      <c r="D20" s="419"/>
      <c r="E20" s="380">
        <v>2024</v>
      </c>
      <c r="F20" s="380">
        <v>2013</v>
      </c>
      <c r="G20" s="204">
        <v>0</v>
      </c>
      <c r="H20" s="204">
        <v>0</v>
      </c>
      <c r="I20" s="406"/>
      <c r="J20" s="210"/>
      <c r="K20" s="210"/>
      <c r="L20" s="210"/>
      <c r="M20" s="210"/>
      <c r="N20" s="213"/>
    </row>
    <row r="21" spans="1:14" ht="24" customHeight="1" x14ac:dyDescent="0.2">
      <c r="A21" s="411"/>
      <c r="B21" s="416"/>
      <c r="C21" s="418"/>
      <c r="D21" s="419"/>
      <c r="E21" s="380">
        <v>2025</v>
      </c>
      <c r="F21" s="380">
        <v>2013</v>
      </c>
      <c r="G21" s="204">
        <v>0</v>
      </c>
      <c r="H21" s="204">
        <v>0</v>
      </c>
      <c r="I21" s="407"/>
      <c r="J21" s="210"/>
      <c r="K21" s="210"/>
      <c r="L21" s="210"/>
      <c r="M21" s="210"/>
      <c r="N21" s="213"/>
    </row>
    <row r="22" spans="1:14" ht="36" customHeight="1" x14ac:dyDescent="0.2">
      <c r="A22" s="410">
        <v>4</v>
      </c>
      <c r="B22" s="416"/>
      <c r="C22" s="404" t="s">
        <v>300</v>
      </c>
      <c r="D22" s="404" t="s">
        <v>301</v>
      </c>
      <c r="E22" s="404" t="s">
        <v>420</v>
      </c>
      <c r="F22" s="404"/>
      <c r="G22" s="217">
        <v>3379.92</v>
      </c>
      <c r="H22" s="218">
        <v>659.72</v>
      </c>
      <c r="I22" s="401" t="s">
        <v>302</v>
      </c>
      <c r="J22" s="216" t="s">
        <v>303</v>
      </c>
      <c r="K22" s="210" t="s">
        <v>304</v>
      </c>
      <c r="L22" s="210"/>
      <c r="M22" s="210"/>
      <c r="N22" s="204">
        <v>210</v>
      </c>
    </row>
    <row r="23" spans="1:14" x14ac:dyDescent="0.2">
      <c r="A23" s="411"/>
      <c r="B23" s="416"/>
      <c r="C23" s="420"/>
      <c r="D23" s="421"/>
      <c r="E23" s="404">
        <v>2022</v>
      </c>
      <c r="F23" s="404">
        <v>2013</v>
      </c>
      <c r="G23" s="217">
        <f>763.63+580</f>
        <v>1343.63</v>
      </c>
      <c r="H23" s="218">
        <v>136</v>
      </c>
      <c r="I23" s="402"/>
      <c r="J23" s="204">
        <v>14000</v>
      </c>
      <c r="K23" s="204">
        <v>135300</v>
      </c>
      <c r="L23" s="204"/>
      <c r="M23" s="204"/>
      <c r="N23" s="204">
        <v>20</v>
      </c>
    </row>
    <row r="24" spans="1:14" x14ac:dyDescent="0.2">
      <c r="A24" s="411"/>
      <c r="B24" s="416"/>
      <c r="C24" s="420"/>
      <c r="D24" s="421"/>
      <c r="E24" s="404">
        <v>2023</v>
      </c>
      <c r="F24" s="404">
        <v>2013</v>
      </c>
      <c r="G24" s="217">
        <v>678.8</v>
      </c>
      <c r="H24" s="218">
        <v>163</v>
      </c>
      <c r="I24" s="402"/>
      <c r="J24" s="204">
        <v>14000</v>
      </c>
      <c r="K24" s="204">
        <v>135300</v>
      </c>
      <c r="L24" s="204"/>
      <c r="M24" s="204"/>
      <c r="N24" s="204">
        <v>15</v>
      </c>
    </row>
    <row r="25" spans="1:14" x14ac:dyDescent="0.2">
      <c r="A25" s="411"/>
      <c r="B25" s="416"/>
      <c r="C25" s="420"/>
      <c r="D25" s="421"/>
      <c r="E25" s="404">
        <v>2024</v>
      </c>
      <c r="F25" s="404">
        <v>2013</v>
      </c>
      <c r="G25" s="217">
        <v>712.7</v>
      </c>
      <c r="H25" s="217">
        <v>126.42</v>
      </c>
      <c r="I25" s="402"/>
      <c r="J25" s="204">
        <v>14050</v>
      </c>
      <c r="K25" s="204">
        <v>135300</v>
      </c>
      <c r="L25" s="204"/>
      <c r="M25" s="204"/>
      <c r="N25" s="204">
        <v>15</v>
      </c>
    </row>
    <row r="26" spans="1:14" ht="58.5" customHeight="1" x14ac:dyDescent="0.2">
      <c r="A26" s="411"/>
      <c r="B26" s="416"/>
      <c r="C26" s="420"/>
      <c r="D26" s="421"/>
      <c r="E26" s="404">
        <v>2025</v>
      </c>
      <c r="F26" s="404">
        <v>2013</v>
      </c>
      <c r="G26" s="217">
        <v>644.79</v>
      </c>
      <c r="H26" s="217">
        <v>234.3</v>
      </c>
      <c r="I26" s="403"/>
      <c r="J26" s="204">
        <v>14200</v>
      </c>
      <c r="K26" s="204">
        <v>14000</v>
      </c>
      <c r="L26" s="204"/>
      <c r="M26" s="204"/>
      <c r="N26" s="204">
        <v>160</v>
      </c>
    </row>
    <row r="27" spans="1:14" ht="73.5" customHeight="1" x14ac:dyDescent="0.2">
      <c r="A27" s="410">
        <v>5</v>
      </c>
      <c r="B27" s="416"/>
      <c r="C27" s="418" t="s">
        <v>305</v>
      </c>
      <c r="D27" s="418" t="s">
        <v>306</v>
      </c>
      <c r="E27" s="380" t="s">
        <v>420</v>
      </c>
      <c r="F27" s="380"/>
      <c r="G27" s="215">
        <v>859.5</v>
      </c>
      <c r="H27" s="204">
        <v>443.5</v>
      </c>
      <c r="I27" s="408" t="s">
        <v>307</v>
      </c>
      <c r="J27" s="204"/>
      <c r="K27" s="204"/>
      <c r="L27" s="204"/>
      <c r="M27" s="204"/>
      <c r="N27" s="204">
        <v>90</v>
      </c>
    </row>
    <row r="28" spans="1:14" ht="63.75" customHeight="1" x14ac:dyDescent="0.2">
      <c r="A28" s="411"/>
      <c r="B28" s="416"/>
      <c r="C28" s="418"/>
      <c r="D28" s="418"/>
      <c r="E28" s="380">
        <v>2022</v>
      </c>
      <c r="F28" s="380">
        <v>2013</v>
      </c>
      <c r="G28" s="215">
        <v>7</v>
      </c>
      <c r="H28" s="204">
        <v>0</v>
      </c>
      <c r="I28" s="406"/>
      <c r="J28" s="204"/>
      <c r="K28" s="204"/>
      <c r="L28" s="204"/>
      <c r="M28" s="204"/>
      <c r="N28" s="204">
        <v>5</v>
      </c>
    </row>
    <row r="29" spans="1:14" ht="30.75" customHeight="1" x14ac:dyDescent="0.2">
      <c r="A29" s="411"/>
      <c r="B29" s="416"/>
      <c r="C29" s="418"/>
      <c r="D29" s="418"/>
      <c r="E29" s="380">
        <v>2023</v>
      </c>
      <c r="F29" s="380">
        <v>2013</v>
      </c>
      <c r="G29" s="215">
        <v>852.5</v>
      </c>
      <c r="H29" s="204">
        <v>143.6</v>
      </c>
      <c r="I29" s="406"/>
      <c r="J29" s="204"/>
      <c r="K29" s="204"/>
      <c r="L29" s="204"/>
      <c r="M29" s="204"/>
      <c r="N29" s="204">
        <v>30</v>
      </c>
    </row>
    <row r="30" spans="1:14" ht="40.5" customHeight="1" x14ac:dyDescent="0.2">
      <c r="A30" s="411"/>
      <c r="B30" s="416"/>
      <c r="C30" s="418"/>
      <c r="D30" s="418"/>
      <c r="E30" s="380">
        <v>2024</v>
      </c>
      <c r="F30" s="380">
        <v>2013</v>
      </c>
      <c r="G30" s="215">
        <v>0</v>
      </c>
      <c r="H30" s="204">
        <v>148.4</v>
      </c>
      <c r="I30" s="406"/>
      <c r="J30" s="204"/>
      <c r="K30" s="204"/>
      <c r="L30" s="204"/>
      <c r="M30" s="204"/>
      <c r="N30" s="204">
        <v>55</v>
      </c>
    </row>
    <row r="31" spans="1:14" ht="51" customHeight="1" x14ac:dyDescent="0.2">
      <c r="A31" s="411"/>
      <c r="B31" s="416"/>
      <c r="C31" s="418"/>
      <c r="D31" s="418"/>
      <c r="E31" s="380">
        <v>2025</v>
      </c>
      <c r="F31" s="380">
        <v>2013</v>
      </c>
      <c r="G31" s="215">
        <v>0</v>
      </c>
      <c r="H31" s="204">
        <v>153.30000000000001</v>
      </c>
      <c r="I31" s="407"/>
      <c r="J31" s="204"/>
      <c r="K31" s="204"/>
      <c r="L31" s="204"/>
      <c r="M31" s="204"/>
      <c r="N31" s="204">
        <v>30</v>
      </c>
    </row>
    <row r="32" spans="1:14" ht="27.75" customHeight="1" x14ac:dyDescent="0.2">
      <c r="A32" s="422">
        <v>6</v>
      </c>
      <c r="B32" s="416"/>
      <c r="C32" s="412" t="s">
        <v>308</v>
      </c>
      <c r="D32" s="412" t="s">
        <v>309</v>
      </c>
      <c r="E32" s="380" t="s">
        <v>420</v>
      </c>
      <c r="F32" s="380"/>
      <c r="G32" s="215">
        <v>86.8</v>
      </c>
      <c r="H32" s="204"/>
      <c r="I32" s="201"/>
      <c r="J32" s="204"/>
      <c r="K32" s="204"/>
      <c r="L32" s="204"/>
      <c r="M32" s="204"/>
      <c r="N32" s="204">
        <v>30</v>
      </c>
    </row>
    <row r="33" spans="1:14" ht="21.75" customHeight="1" x14ac:dyDescent="0.2">
      <c r="A33" s="423"/>
      <c r="B33" s="416"/>
      <c r="C33" s="413"/>
      <c r="D33" s="413"/>
      <c r="E33" s="380">
        <v>2022</v>
      </c>
      <c r="F33" s="380">
        <v>2013</v>
      </c>
      <c r="G33" s="215">
        <v>0</v>
      </c>
      <c r="H33" s="204"/>
      <c r="I33" s="201"/>
      <c r="J33" s="204"/>
      <c r="K33" s="204"/>
      <c r="L33" s="204"/>
      <c r="M33" s="204"/>
      <c r="N33" s="204"/>
    </row>
    <row r="34" spans="1:14" ht="40.5" customHeight="1" x14ac:dyDescent="0.2">
      <c r="A34" s="423"/>
      <c r="B34" s="416"/>
      <c r="C34" s="413"/>
      <c r="D34" s="413"/>
      <c r="E34" s="380">
        <v>2023</v>
      </c>
      <c r="F34" s="380">
        <v>2013</v>
      </c>
      <c r="G34" s="215">
        <v>40</v>
      </c>
      <c r="H34" s="204"/>
      <c r="I34" s="408" t="s">
        <v>310</v>
      </c>
      <c r="J34" s="204"/>
      <c r="K34" s="204"/>
      <c r="L34" s="204"/>
      <c r="M34" s="204"/>
      <c r="N34" s="204">
        <v>15</v>
      </c>
    </row>
    <row r="35" spans="1:14" ht="40.5" customHeight="1" x14ac:dyDescent="0.2">
      <c r="A35" s="423"/>
      <c r="B35" s="416"/>
      <c r="C35" s="413"/>
      <c r="D35" s="413"/>
      <c r="E35" s="380">
        <v>2024</v>
      </c>
      <c r="F35" s="380">
        <v>2013</v>
      </c>
      <c r="G35" s="215">
        <v>46.8</v>
      </c>
      <c r="H35" s="204"/>
      <c r="I35" s="409"/>
      <c r="J35" s="204"/>
      <c r="K35" s="204"/>
      <c r="L35" s="204"/>
      <c r="M35" s="204"/>
      <c r="N35" s="204">
        <v>15</v>
      </c>
    </row>
    <row r="36" spans="1:14" ht="34.5" customHeight="1" x14ac:dyDescent="0.2">
      <c r="A36" s="424"/>
      <c r="B36" s="416"/>
      <c r="C36" s="414"/>
      <c r="D36" s="414"/>
      <c r="E36" s="380">
        <v>2025</v>
      </c>
      <c r="F36" s="380">
        <v>2013</v>
      </c>
      <c r="G36" s="204">
        <v>0</v>
      </c>
      <c r="H36" s="210"/>
      <c r="I36" s="201"/>
      <c r="J36" s="204"/>
      <c r="K36" s="204"/>
      <c r="L36" s="204"/>
      <c r="M36" s="204"/>
      <c r="N36" s="204"/>
    </row>
    <row r="37" spans="1:14" ht="37.5" customHeight="1" x14ac:dyDescent="0.2">
      <c r="A37" s="410">
        <v>7</v>
      </c>
      <c r="B37" s="416"/>
      <c r="C37" s="412" t="s">
        <v>311</v>
      </c>
      <c r="D37" s="412" t="s">
        <v>312</v>
      </c>
      <c r="E37" s="380" t="s">
        <v>420</v>
      </c>
      <c r="F37" s="380"/>
      <c r="G37" s="215">
        <v>330</v>
      </c>
      <c r="H37" s="210"/>
      <c r="I37" s="219"/>
      <c r="J37" s="204"/>
      <c r="K37" s="204"/>
      <c r="L37" s="204"/>
      <c r="M37" s="204"/>
      <c r="N37" s="204">
        <v>60</v>
      </c>
    </row>
    <row r="38" spans="1:14" ht="21.75" customHeight="1" x14ac:dyDescent="0.2">
      <c r="A38" s="411"/>
      <c r="B38" s="416"/>
      <c r="C38" s="413"/>
      <c r="D38" s="413"/>
      <c r="E38" s="380">
        <v>2022</v>
      </c>
      <c r="F38" s="380">
        <v>2013</v>
      </c>
      <c r="G38" s="215">
        <v>0</v>
      </c>
      <c r="H38" s="210"/>
      <c r="I38" s="219"/>
      <c r="J38" s="204"/>
      <c r="K38" s="204"/>
      <c r="L38" s="204"/>
      <c r="M38" s="204"/>
      <c r="N38" s="204"/>
    </row>
    <row r="39" spans="1:14" ht="40.5" customHeight="1" x14ac:dyDescent="0.2">
      <c r="A39" s="411"/>
      <c r="B39" s="416"/>
      <c r="C39" s="413"/>
      <c r="D39" s="413"/>
      <c r="E39" s="380">
        <v>2023</v>
      </c>
      <c r="F39" s="380">
        <v>2013</v>
      </c>
      <c r="G39" s="215">
        <v>330</v>
      </c>
      <c r="H39" s="210"/>
      <c r="I39" s="219" t="s">
        <v>313</v>
      </c>
      <c r="J39" s="204"/>
      <c r="K39" s="204"/>
      <c r="L39" s="204"/>
      <c r="M39" s="204"/>
      <c r="N39" s="204">
        <v>60</v>
      </c>
    </row>
    <row r="40" spans="1:14" ht="21.75" customHeight="1" x14ac:dyDescent="0.2">
      <c r="A40" s="411"/>
      <c r="B40" s="416"/>
      <c r="C40" s="413"/>
      <c r="D40" s="413"/>
      <c r="E40" s="380">
        <v>2024</v>
      </c>
      <c r="F40" s="380">
        <v>2013</v>
      </c>
      <c r="G40" s="215">
        <v>0</v>
      </c>
      <c r="H40" s="210"/>
      <c r="I40" s="219"/>
      <c r="J40" s="204"/>
      <c r="K40" s="204"/>
      <c r="L40" s="204"/>
      <c r="M40" s="204"/>
      <c r="N40" s="204"/>
    </row>
    <row r="41" spans="1:14" ht="21.75" customHeight="1" x14ac:dyDescent="0.2">
      <c r="A41" s="411"/>
      <c r="B41" s="416"/>
      <c r="C41" s="414"/>
      <c r="D41" s="414"/>
      <c r="E41" s="380">
        <v>2025</v>
      </c>
      <c r="F41" s="380">
        <v>2013</v>
      </c>
      <c r="G41" s="215">
        <v>0</v>
      </c>
      <c r="H41" s="210"/>
      <c r="I41" s="219"/>
      <c r="J41" s="204"/>
      <c r="K41" s="204"/>
      <c r="L41" s="204"/>
      <c r="M41" s="204"/>
      <c r="N41" s="204"/>
    </row>
    <row r="42" spans="1:14" ht="33.75" customHeight="1" x14ac:dyDescent="0.2">
      <c r="A42" s="410">
        <v>8</v>
      </c>
      <c r="B42" s="416"/>
      <c r="C42" s="412" t="s">
        <v>314</v>
      </c>
      <c r="D42" s="412" t="s">
        <v>315</v>
      </c>
      <c r="E42" s="380" t="s">
        <v>420</v>
      </c>
      <c r="F42" s="380"/>
      <c r="G42" s="215">
        <v>147</v>
      </c>
      <c r="H42" s="210"/>
      <c r="I42" s="412" t="s">
        <v>316</v>
      </c>
      <c r="J42" s="204"/>
      <c r="K42" s="204"/>
      <c r="L42" s="204"/>
      <c r="M42" s="204"/>
      <c r="N42" s="204">
        <v>60</v>
      </c>
    </row>
    <row r="43" spans="1:14" ht="21.75" customHeight="1" x14ac:dyDescent="0.2">
      <c r="A43" s="411"/>
      <c r="B43" s="416"/>
      <c r="C43" s="413"/>
      <c r="D43" s="413"/>
      <c r="E43" s="380">
        <v>2022</v>
      </c>
      <c r="F43" s="380">
        <v>2013</v>
      </c>
      <c r="G43" s="215">
        <v>0</v>
      </c>
      <c r="H43" s="210"/>
      <c r="I43" s="413"/>
      <c r="J43" s="204"/>
      <c r="K43" s="204"/>
      <c r="L43" s="204"/>
      <c r="M43" s="204"/>
      <c r="N43" s="204"/>
    </row>
    <row r="44" spans="1:14" ht="21.75" customHeight="1" x14ac:dyDescent="0.2">
      <c r="A44" s="411"/>
      <c r="B44" s="416"/>
      <c r="C44" s="413"/>
      <c r="D44" s="413"/>
      <c r="E44" s="380">
        <v>2023</v>
      </c>
      <c r="F44" s="380">
        <v>2013</v>
      </c>
      <c r="G44" s="215">
        <v>45</v>
      </c>
      <c r="H44" s="210"/>
      <c r="I44" s="413"/>
      <c r="J44" s="204"/>
      <c r="K44" s="204"/>
      <c r="L44" s="204"/>
      <c r="M44" s="204"/>
      <c r="N44" s="204">
        <v>10</v>
      </c>
    </row>
    <row r="45" spans="1:14" ht="21.75" customHeight="1" x14ac:dyDescent="0.2">
      <c r="A45" s="411"/>
      <c r="B45" s="416"/>
      <c r="C45" s="413"/>
      <c r="D45" s="413"/>
      <c r="E45" s="380">
        <v>2024</v>
      </c>
      <c r="F45" s="380">
        <v>2013</v>
      </c>
      <c r="G45" s="215">
        <v>45</v>
      </c>
      <c r="H45" s="210"/>
      <c r="I45" s="413"/>
      <c r="J45" s="204"/>
      <c r="K45" s="204"/>
      <c r="L45" s="204"/>
      <c r="M45" s="204"/>
      <c r="N45" s="204">
        <v>20</v>
      </c>
    </row>
    <row r="46" spans="1:14" ht="33" customHeight="1" x14ac:dyDescent="0.2">
      <c r="A46" s="411"/>
      <c r="B46" s="416"/>
      <c r="C46" s="414"/>
      <c r="D46" s="414"/>
      <c r="E46" s="380">
        <v>2025</v>
      </c>
      <c r="F46" s="380">
        <v>2013</v>
      </c>
      <c r="G46" s="215">
        <v>57</v>
      </c>
      <c r="H46" s="210"/>
      <c r="I46" s="414"/>
      <c r="J46" s="204"/>
      <c r="K46" s="204"/>
      <c r="L46" s="204"/>
      <c r="M46" s="204"/>
      <c r="N46" s="204">
        <v>30</v>
      </c>
    </row>
    <row r="47" spans="1:14" ht="33" customHeight="1" x14ac:dyDescent="0.2">
      <c r="A47" s="410">
        <v>9</v>
      </c>
      <c r="B47" s="416"/>
      <c r="C47" s="412" t="s">
        <v>317</v>
      </c>
      <c r="D47" s="412" t="s">
        <v>318</v>
      </c>
      <c r="E47" s="380" t="s">
        <v>420</v>
      </c>
      <c r="F47" s="380"/>
      <c r="G47" s="215">
        <v>12</v>
      </c>
      <c r="H47" s="210"/>
      <c r="I47" s="412" t="s">
        <v>319</v>
      </c>
      <c r="J47" s="204"/>
      <c r="K47" s="204"/>
      <c r="L47" s="204"/>
      <c r="M47" s="204"/>
      <c r="N47" s="204"/>
    </row>
    <row r="48" spans="1:14" ht="33" customHeight="1" x14ac:dyDescent="0.2">
      <c r="A48" s="411"/>
      <c r="B48" s="416"/>
      <c r="C48" s="413"/>
      <c r="D48" s="413"/>
      <c r="E48" s="380">
        <v>2022</v>
      </c>
      <c r="F48" s="380">
        <v>2013</v>
      </c>
      <c r="G48" s="215">
        <v>0</v>
      </c>
      <c r="H48" s="210"/>
      <c r="I48" s="413"/>
      <c r="J48" s="204"/>
      <c r="K48" s="204"/>
      <c r="L48" s="204"/>
      <c r="M48" s="204"/>
      <c r="N48" s="204"/>
    </row>
    <row r="49" spans="1:14" ht="33" customHeight="1" x14ac:dyDescent="0.2">
      <c r="A49" s="411"/>
      <c r="B49" s="416"/>
      <c r="C49" s="413"/>
      <c r="D49" s="413"/>
      <c r="E49" s="380">
        <v>2023</v>
      </c>
      <c r="F49" s="380">
        <v>2013</v>
      </c>
      <c r="G49" s="215">
        <v>12</v>
      </c>
      <c r="H49" s="210"/>
      <c r="I49" s="413"/>
      <c r="J49" s="204"/>
      <c r="K49" s="204"/>
      <c r="L49" s="204"/>
      <c r="M49" s="204"/>
      <c r="N49" s="204"/>
    </row>
    <row r="50" spans="1:14" ht="33" customHeight="1" x14ac:dyDescent="0.2">
      <c r="A50" s="411"/>
      <c r="B50" s="416"/>
      <c r="C50" s="413"/>
      <c r="D50" s="413"/>
      <c r="E50" s="380">
        <v>2024</v>
      </c>
      <c r="F50" s="380">
        <v>2013</v>
      </c>
      <c r="G50" s="215">
        <v>0</v>
      </c>
      <c r="H50" s="210"/>
      <c r="I50" s="413"/>
      <c r="J50" s="204"/>
      <c r="K50" s="204"/>
      <c r="L50" s="204"/>
      <c r="M50" s="204"/>
      <c r="N50" s="204"/>
    </row>
    <row r="51" spans="1:14" ht="33" customHeight="1" x14ac:dyDescent="0.2">
      <c r="A51" s="411"/>
      <c r="B51" s="416"/>
      <c r="C51" s="414"/>
      <c r="D51" s="414"/>
      <c r="E51" s="380">
        <v>2025</v>
      </c>
      <c r="F51" s="380">
        <v>2013</v>
      </c>
      <c r="G51" s="215">
        <v>0</v>
      </c>
      <c r="H51" s="210"/>
      <c r="I51" s="414"/>
      <c r="J51" s="204"/>
      <c r="K51" s="204"/>
      <c r="L51" s="204"/>
      <c r="M51" s="204"/>
      <c r="N51" s="204"/>
    </row>
    <row r="52" spans="1:14" ht="33" customHeight="1" x14ac:dyDescent="0.2">
      <c r="A52" s="410">
        <v>10</v>
      </c>
      <c r="B52" s="417"/>
      <c r="C52" s="412" t="s">
        <v>421</v>
      </c>
      <c r="D52" s="412" t="s">
        <v>422</v>
      </c>
      <c r="E52" s="380" t="s">
        <v>420</v>
      </c>
      <c r="F52" s="380"/>
      <c r="G52" s="215">
        <v>1748.62</v>
      </c>
      <c r="H52" s="210"/>
      <c r="I52" s="412" t="s">
        <v>320</v>
      </c>
      <c r="J52" s="202"/>
      <c r="K52" s="204"/>
      <c r="L52" s="204"/>
      <c r="M52" s="204"/>
      <c r="N52" s="204">
        <v>25</v>
      </c>
    </row>
    <row r="53" spans="1:14" ht="33" customHeight="1" x14ac:dyDescent="0.2">
      <c r="A53" s="411"/>
      <c r="B53" s="417"/>
      <c r="C53" s="413"/>
      <c r="D53" s="413"/>
      <c r="E53" s="380">
        <v>2022</v>
      </c>
      <c r="F53" s="380">
        <v>2013</v>
      </c>
      <c r="G53" s="215"/>
      <c r="H53" s="210"/>
      <c r="I53" s="388"/>
      <c r="J53" s="202"/>
      <c r="K53" s="204"/>
      <c r="L53" s="204"/>
      <c r="M53" s="204"/>
      <c r="N53" s="204"/>
    </row>
    <row r="54" spans="1:14" ht="33" customHeight="1" x14ac:dyDescent="0.2">
      <c r="A54" s="411"/>
      <c r="B54" s="417"/>
      <c r="C54" s="413"/>
      <c r="D54" s="413"/>
      <c r="E54" s="380">
        <v>2023</v>
      </c>
      <c r="F54" s="380">
        <v>2013</v>
      </c>
      <c r="G54" s="215"/>
      <c r="H54" s="210"/>
      <c r="I54" s="388"/>
      <c r="J54" s="202"/>
      <c r="K54" s="204"/>
      <c r="L54" s="204"/>
      <c r="M54" s="204"/>
      <c r="N54" s="204">
        <v>5</v>
      </c>
    </row>
    <row r="55" spans="1:14" ht="33" customHeight="1" x14ac:dyDescent="0.2">
      <c r="A55" s="411"/>
      <c r="B55" s="417"/>
      <c r="C55" s="413"/>
      <c r="D55" s="413"/>
      <c r="E55" s="380">
        <v>2024</v>
      </c>
      <c r="F55" s="380">
        <v>2013</v>
      </c>
      <c r="G55" s="215">
        <v>1013</v>
      </c>
      <c r="H55" s="210"/>
      <c r="I55" s="388"/>
      <c r="J55" s="202" t="s">
        <v>321</v>
      </c>
      <c r="K55" s="204"/>
      <c r="L55" s="204"/>
      <c r="M55" s="204"/>
      <c r="N55" s="204">
        <v>10</v>
      </c>
    </row>
    <row r="56" spans="1:14" ht="33" customHeight="1" x14ac:dyDescent="0.2">
      <c r="A56" s="411"/>
      <c r="B56" s="417"/>
      <c r="C56" s="414"/>
      <c r="D56" s="414"/>
      <c r="E56" s="380">
        <v>2025</v>
      </c>
      <c r="F56" s="380">
        <v>2013</v>
      </c>
      <c r="G56" s="215">
        <f>G52-G55</f>
        <v>735.61999999999989</v>
      </c>
      <c r="H56" s="210"/>
      <c r="I56" s="389"/>
      <c r="J56" s="202"/>
      <c r="K56" s="204"/>
      <c r="L56" s="204"/>
      <c r="M56" s="204"/>
      <c r="N56" s="204">
        <v>10</v>
      </c>
    </row>
    <row r="57" spans="1:14" ht="33" customHeight="1" x14ac:dyDescent="0.2">
      <c r="A57" s="410">
        <v>11</v>
      </c>
      <c r="B57" s="417"/>
      <c r="C57" s="412" t="s">
        <v>322</v>
      </c>
      <c r="D57" s="425" t="s">
        <v>323</v>
      </c>
      <c r="E57" s="380" t="s">
        <v>420</v>
      </c>
      <c r="F57" s="380"/>
      <c r="G57" s="215">
        <v>60</v>
      </c>
      <c r="H57" s="210"/>
      <c r="I57" s="219"/>
      <c r="J57" s="204"/>
      <c r="K57" s="204"/>
      <c r="L57" s="204"/>
      <c r="M57" s="204"/>
      <c r="N57" s="204">
        <v>20</v>
      </c>
    </row>
    <row r="58" spans="1:14" ht="33" customHeight="1" x14ac:dyDescent="0.2">
      <c r="A58" s="411"/>
      <c r="B58" s="417"/>
      <c r="C58" s="413"/>
      <c r="D58" s="426"/>
      <c r="E58" s="380">
        <v>2022</v>
      </c>
      <c r="F58" s="380">
        <v>2013</v>
      </c>
      <c r="G58" s="215"/>
      <c r="H58" s="210"/>
      <c r="I58" s="22"/>
      <c r="J58" s="204"/>
      <c r="K58" s="204"/>
      <c r="L58" s="204"/>
      <c r="M58" s="204"/>
      <c r="N58" s="204"/>
    </row>
    <row r="59" spans="1:14" ht="48" customHeight="1" x14ac:dyDescent="0.2">
      <c r="A59" s="411"/>
      <c r="B59" s="417"/>
      <c r="C59" s="413"/>
      <c r="D59" s="426"/>
      <c r="E59" s="380">
        <v>2023</v>
      </c>
      <c r="F59" s="380">
        <v>2013</v>
      </c>
      <c r="G59" s="215">
        <v>10</v>
      </c>
      <c r="H59" s="210"/>
      <c r="I59" s="202"/>
      <c r="J59" s="219" t="s">
        <v>324</v>
      </c>
      <c r="K59" s="204"/>
      <c r="L59" s="204"/>
      <c r="M59" s="204"/>
      <c r="N59" s="204"/>
    </row>
    <row r="60" spans="1:14" ht="63.75" customHeight="1" x14ac:dyDescent="0.2">
      <c r="A60" s="411"/>
      <c r="B60" s="417"/>
      <c r="C60" s="413"/>
      <c r="D60" s="426"/>
      <c r="E60" s="380">
        <v>2024</v>
      </c>
      <c r="F60" s="380">
        <v>2013</v>
      </c>
      <c r="G60" s="215">
        <v>20</v>
      </c>
      <c r="H60" s="210"/>
      <c r="I60" s="202"/>
      <c r="J60" s="212"/>
      <c r="K60" s="212" t="s">
        <v>325</v>
      </c>
      <c r="L60" s="204"/>
      <c r="M60" s="204"/>
      <c r="N60" s="204">
        <v>5</v>
      </c>
    </row>
    <row r="61" spans="1:14" ht="49.5" customHeight="1" x14ac:dyDescent="0.2">
      <c r="A61" s="411"/>
      <c r="B61" s="417"/>
      <c r="C61" s="414"/>
      <c r="D61" s="427"/>
      <c r="E61" s="380">
        <v>2025</v>
      </c>
      <c r="F61" s="380">
        <v>2013</v>
      </c>
      <c r="G61" s="215">
        <v>30</v>
      </c>
      <c r="H61" s="210"/>
      <c r="I61" s="202"/>
      <c r="J61" s="204"/>
      <c r="K61" s="203"/>
      <c r="L61" s="212" t="s">
        <v>322</v>
      </c>
      <c r="M61" s="204"/>
      <c r="N61" s="204">
        <v>15</v>
      </c>
    </row>
    <row r="62" spans="1:14" ht="33" customHeight="1" x14ac:dyDescent="0.2">
      <c r="A62" s="410">
        <v>12</v>
      </c>
      <c r="B62" s="417"/>
      <c r="C62" s="412" t="s">
        <v>326</v>
      </c>
      <c r="D62" s="425" t="s">
        <v>423</v>
      </c>
      <c r="E62" s="380" t="s">
        <v>420</v>
      </c>
      <c r="F62" s="380"/>
      <c r="G62" s="215">
        <v>565.54</v>
      </c>
      <c r="H62" s="210"/>
      <c r="I62" s="219"/>
      <c r="J62" s="204"/>
      <c r="K62" s="204"/>
      <c r="L62" s="204"/>
      <c r="M62" s="204"/>
      <c r="N62" s="204">
        <v>25</v>
      </c>
    </row>
    <row r="63" spans="1:14" ht="75" customHeight="1" x14ac:dyDescent="0.2">
      <c r="A63" s="411"/>
      <c r="B63" s="417"/>
      <c r="C63" s="413"/>
      <c r="D63" s="426"/>
      <c r="E63" s="380">
        <v>2022</v>
      </c>
      <c r="F63" s="380">
        <v>2013</v>
      </c>
      <c r="G63" s="215">
        <v>0</v>
      </c>
      <c r="H63" s="210"/>
      <c r="I63" s="219" t="s">
        <v>327</v>
      </c>
      <c r="J63" s="202"/>
      <c r="K63" s="204"/>
      <c r="L63" s="204"/>
      <c r="M63" s="204"/>
      <c r="N63" s="204"/>
    </row>
    <row r="64" spans="1:14" ht="33" customHeight="1" x14ac:dyDescent="0.2">
      <c r="A64" s="411"/>
      <c r="B64" s="417"/>
      <c r="C64" s="413"/>
      <c r="D64" s="426"/>
      <c r="E64" s="380">
        <v>2023</v>
      </c>
      <c r="F64" s="380">
        <v>2013</v>
      </c>
      <c r="G64" s="215">
        <v>0</v>
      </c>
      <c r="H64" s="210"/>
      <c r="I64" s="202"/>
      <c r="J64" s="219" t="s">
        <v>324</v>
      </c>
      <c r="K64" s="204"/>
      <c r="L64" s="204"/>
      <c r="M64" s="204"/>
      <c r="N64" s="204">
        <v>5</v>
      </c>
    </row>
    <row r="65" spans="1:14" ht="64.5" customHeight="1" x14ac:dyDescent="0.2">
      <c r="A65" s="411"/>
      <c r="B65" s="417"/>
      <c r="C65" s="413"/>
      <c r="D65" s="426"/>
      <c r="E65" s="380">
        <v>2024</v>
      </c>
      <c r="F65" s="380">
        <v>2013</v>
      </c>
      <c r="G65" s="215">
        <v>300</v>
      </c>
      <c r="H65" s="210"/>
      <c r="I65" s="202"/>
      <c r="J65" s="202"/>
      <c r="K65" s="212" t="s">
        <v>325</v>
      </c>
      <c r="L65" s="220"/>
      <c r="M65" s="204"/>
      <c r="N65" s="204">
        <v>5</v>
      </c>
    </row>
    <row r="66" spans="1:14" ht="47.25" customHeight="1" x14ac:dyDescent="0.2">
      <c r="A66" s="411"/>
      <c r="B66" s="417"/>
      <c r="C66" s="414"/>
      <c r="D66" s="427"/>
      <c r="E66" s="380">
        <v>2025</v>
      </c>
      <c r="F66" s="380">
        <v>2013</v>
      </c>
      <c r="G66" s="215">
        <f>G62-G65</f>
        <v>265.53999999999996</v>
      </c>
      <c r="H66" s="210"/>
      <c r="I66" s="202"/>
      <c r="J66" s="202"/>
      <c r="K66" s="205"/>
      <c r="L66" s="220" t="s">
        <v>326</v>
      </c>
      <c r="M66" s="204"/>
      <c r="N66" s="204">
        <v>15</v>
      </c>
    </row>
    <row r="67" spans="1:14" ht="39.75" customHeight="1" x14ac:dyDescent="0.2">
      <c r="A67" s="410">
        <v>13</v>
      </c>
      <c r="B67" s="417"/>
      <c r="C67" s="425" t="s">
        <v>328</v>
      </c>
      <c r="D67" s="425" t="s">
        <v>329</v>
      </c>
      <c r="E67" s="404" t="s">
        <v>420</v>
      </c>
      <c r="F67" s="404"/>
      <c r="G67" s="218">
        <v>16.12</v>
      </c>
      <c r="H67" s="206"/>
      <c r="I67" s="221"/>
      <c r="J67" s="221" t="s">
        <v>324</v>
      </c>
      <c r="K67" s="204"/>
      <c r="L67" s="204"/>
      <c r="M67" s="204"/>
      <c r="N67" s="204">
        <v>65</v>
      </c>
    </row>
    <row r="68" spans="1:14" ht="57.75" customHeight="1" x14ac:dyDescent="0.2">
      <c r="A68" s="411"/>
      <c r="B68" s="417"/>
      <c r="C68" s="426"/>
      <c r="D68" s="426"/>
      <c r="E68" s="404">
        <v>2022</v>
      </c>
      <c r="F68" s="404">
        <v>2013</v>
      </c>
      <c r="G68" s="218">
        <v>16.12</v>
      </c>
      <c r="H68" s="206"/>
      <c r="I68" s="206"/>
      <c r="J68" s="206"/>
      <c r="K68" s="204"/>
      <c r="L68" s="204"/>
      <c r="M68" s="204"/>
      <c r="N68" s="204"/>
    </row>
    <row r="69" spans="1:14" ht="33" customHeight="1" x14ac:dyDescent="0.2">
      <c r="A69" s="411"/>
      <c r="B69" s="417"/>
      <c r="C69" s="426"/>
      <c r="D69" s="426"/>
      <c r="E69" s="404">
        <v>2023</v>
      </c>
      <c r="F69" s="404">
        <v>2013</v>
      </c>
      <c r="G69" s="218">
        <v>0</v>
      </c>
      <c r="H69" s="206"/>
      <c r="I69" s="207"/>
      <c r="J69" s="207"/>
      <c r="K69" s="204"/>
      <c r="L69" s="204"/>
      <c r="M69" s="204"/>
      <c r="N69" s="204">
        <v>65</v>
      </c>
    </row>
    <row r="70" spans="1:14" ht="33" customHeight="1" x14ac:dyDescent="0.2">
      <c r="A70" s="411"/>
      <c r="B70" s="417"/>
      <c r="C70" s="426"/>
      <c r="D70" s="426"/>
      <c r="E70" s="404">
        <v>2024</v>
      </c>
      <c r="F70" s="404">
        <v>2013</v>
      </c>
      <c r="G70" s="218">
        <v>0</v>
      </c>
      <c r="H70" s="206"/>
      <c r="I70" s="207"/>
      <c r="J70" s="208"/>
      <c r="K70" s="204"/>
      <c r="L70" s="204"/>
      <c r="M70" s="204"/>
      <c r="N70" s="204"/>
    </row>
    <row r="71" spans="1:14" ht="33" customHeight="1" x14ac:dyDescent="0.2">
      <c r="A71" s="411"/>
      <c r="B71" s="417"/>
      <c r="C71" s="427"/>
      <c r="D71" s="427"/>
      <c r="E71" s="404">
        <v>2025</v>
      </c>
      <c r="F71" s="404">
        <v>2013</v>
      </c>
      <c r="G71" s="218">
        <v>0</v>
      </c>
      <c r="H71" s="206"/>
      <c r="I71" s="207"/>
      <c r="J71" s="208"/>
      <c r="K71" s="204"/>
      <c r="L71" s="204"/>
      <c r="M71" s="204"/>
      <c r="N71" s="204"/>
    </row>
    <row r="72" spans="1:14" ht="33" customHeight="1" x14ac:dyDescent="0.2">
      <c r="A72" s="410">
        <v>14</v>
      </c>
      <c r="B72" s="417"/>
      <c r="C72" s="412" t="s">
        <v>330</v>
      </c>
      <c r="D72" s="412" t="s">
        <v>331</v>
      </c>
      <c r="E72" s="380" t="s">
        <v>420</v>
      </c>
      <c r="F72" s="380"/>
      <c r="G72" s="215">
        <v>4709.9178199999997</v>
      </c>
      <c r="H72" s="210"/>
      <c r="I72" s="202"/>
      <c r="J72" s="209"/>
      <c r="K72" s="204"/>
      <c r="L72" s="204"/>
      <c r="M72" s="204"/>
      <c r="N72" s="204">
        <v>170</v>
      </c>
    </row>
    <row r="73" spans="1:14" ht="192.75" customHeight="1" x14ac:dyDescent="0.2">
      <c r="A73" s="411"/>
      <c r="B73" s="417"/>
      <c r="C73" s="413"/>
      <c r="D73" s="413"/>
      <c r="E73" s="380">
        <v>2022</v>
      </c>
      <c r="F73" s="380">
        <v>2013</v>
      </c>
      <c r="G73" s="222">
        <v>0</v>
      </c>
      <c r="H73" s="210"/>
      <c r="I73" s="387" t="s">
        <v>332</v>
      </c>
      <c r="J73" s="412" t="s">
        <v>333</v>
      </c>
      <c r="K73" s="412" t="s">
        <v>334</v>
      </c>
      <c r="L73" s="204"/>
      <c r="M73" s="204"/>
      <c r="N73" s="204">
        <v>50</v>
      </c>
    </row>
    <row r="74" spans="1:14" ht="63.75" customHeight="1" x14ac:dyDescent="0.2">
      <c r="A74" s="411"/>
      <c r="B74" s="417"/>
      <c r="C74" s="413"/>
      <c r="D74" s="413"/>
      <c r="E74" s="380">
        <v>2023</v>
      </c>
      <c r="F74" s="380">
        <v>2013</v>
      </c>
      <c r="G74" s="215">
        <v>2009.9178199999999</v>
      </c>
      <c r="H74" s="210"/>
      <c r="I74" s="388"/>
      <c r="J74" s="413"/>
      <c r="K74" s="388"/>
      <c r="L74" s="204"/>
      <c r="M74" s="204"/>
      <c r="N74" s="204">
        <v>70</v>
      </c>
    </row>
    <row r="75" spans="1:14" ht="243" customHeight="1" x14ac:dyDescent="0.2">
      <c r="A75" s="411"/>
      <c r="B75" s="417"/>
      <c r="C75" s="413"/>
      <c r="D75" s="413"/>
      <c r="E75" s="380">
        <v>2024</v>
      </c>
      <c r="F75" s="380">
        <v>2013</v>
      </c>
      <c r="G75" s="215">
        <v>2000</v>
      </c>
      <c r="H75" s="210"/>
      <c r="I75" s="389"/>
      <c r="J75" s="414"/>
      <c r="K75" s="389"/>
      <c r="L75" s="204"/>
      <c r="M75" s="204"/>
      <c r="N75" s="204">
        <v>50</v>
      </c>
    </row>
    <row r="76" spans="1:14" ht="22.5" customHeight="1" x14ac:dyDescent="0.2">
      <c r="A76" s="411"/>
      <c r="B76" s="417"/>
      <c r="C76" s="414"/>
      <c r="D76" s="414"/>
      <c r="E76" s="380">
        <v>2025</v>
      </c>
      <c r="F76" s="380">
        <v>2013</v>
      </c>
      <c r="G76" s="215">
        <f>G72-G74-G75</f>
        <v>700</v>
      </c>
      <c r="H76" s="210"/>
      <c r="I76" s="202"/>
      <c r="J76" s="209"/>
      <c r="K76" s="204"/>
      <c r="L76" s="204"/>
      <c r="M76" s="204"/>
      <c r="N76" s="204"/>
    </row>
    <row r="77" spans="1:14" ht="28.5" customHeight="1" x14ac:dyDescent="0.2">
      <c r="A77" s="410">
        <v>15</v>
      </c>
      <c r="B77" s="417"/>
      <c r="C77" s="431" t="s">
        <v>335</v>
      </c>
      <c r="D77" s="412" t="s">
        <v>336</v>
      </c>
      <c r="E77" s="380" t="s">
        <v>420</v>
      </c>
      <c r="F77" s="380"/>
      <c r="G77" s="215">
        <v>93.4</v>
      </c>
      <c r="H77" s="210"/>
      <c r="I77" s="202"/>
      <c r="J77" s="209"/>
      <c r="K77" s="204"/>
      <c r="L77" s="204"/>
      <c r="M77" s="204"/>
      <c r="N77" s="204">
        <v>168</v>
      </c>
    </row>
    <row r="78" spans="1:14" ht="22.5" customHeight="1" x14ac:dyDescent="0.2">
      <c r="A78" s="411"/>
      <c r="B78" s="417"/>
      <c r="C78" s="432"/>
      <c r="D78" s="413"/>
      <c r="E78" s="380">
        <v>2022</v>
      </c>
      <c r="F78" s="380">
        <v>2013</v>
      </c>
      <c r="G78" s="215">
        <v>93.4</v>
      </c>
      <c r="H78" s="210"/>
      <c r="I78" s="202"/>
      <c r="J78" s="209"/>
      <c r="K78" s="204"/>
      <c r="L78" s="204"/>
      <c r="M78" s="204"/>
      <c r="N78" s="204">
        <v>168</v>
      </c>
    </row>
    <row r="79" spans="1:14" ht="22.5" customHeight="1" x14ac:dyDescent="0.2">
      <c r="A79" s="411"/>
      <c r="B79" s="417"/>
      <c r="C79" s="432"/>
      <c r="D79" s="413"/>
      <c r="E79" s="380">
        <v>2023</v>
      </c>
      <c r="F79" s="380">
        <v>2013</v>
      </c>
      <c r="G79" s="215"/>
      <c r="H79" s="210"/>
      <c r="I79" s="202"/>
      <c r="J79" s="209"/>
      <c r="K79" s="204"/>
      <c r="L79" s="204"/>
      <c r="M79" s="204"/>
      <c r="N79" s="204"/>
    </row>
    <row r="80" spans="1:14" ht="22.5" customHeight="1" x14ac:dyDescent="0.2">
      <c r="A80" s="411"/>
      <c r="B80" s="417"/>
      <c r="C80" s="432"/>
      <c r="D80" s="413"/>
      <c r="E80" s="380">
        <v>2024</v>
      </c>
      <c r="F80" s="380">
        <v>2013</v>
      </c>
      <c r="G80" s="215"/>
      <c r="H80" s="210"/>
      <c r="I80" s="202"/>
      <c r="J80" s="209"/>
      <c r="K80" s="204"/>
      <c r="L80" s="204"/>
      <c r="M80" s="204"/>
      <c r="N80" s="204"/>
    </row>
    <row r="81" spans="1:14" ht="22.5" customHeight="1" x14ac:dyDescent="0.2">
      <c r="A81" s="411"/>
      <c r="B81" s="417"/>
      <c r="C81" s="433"/>
      <c r="D81" s="414"/>
      <c r="E81" s="380">
        <v>2025</v>
      </c>
      <c r="F81" s="380">
        <v>2013</v>
      </c>
      <c r="G81" s="215"/>
      <c r="H81" s="210"/>
      <c r="I81" s="202"/>
      <c r="J81" s="209"/>
      <c r="K81" s="204"/>
      <c r="L81" s="204"/>
      <c r="M81" s="204"/>
      <c r="N81" s="204"/>
    </row>
    <row r="82" spans="1:14" ht="48.75" customHeight="1" x14ac:dyDescent="0.2">
      <c r="A82" s="410">
        <v>16</v>
      </c>
      <c r="B82" s="417"/>
      <c r="C82" s="425" t="s">
        <v>337</v>
      </c>
      <c r="D82" s="428" t="s">
        <v>338</v>
      </c>
      <c r="E82" s="380" t="s">
        <v>420</v>
      </c>
      <c r="F82" s="380"/>
      <c r="G82" s="215">
        <v>998.55</v>
      </c>
      <c r="H82" s="210"/>
      <c r="I82" s="202"/>
      <c r="J82" s="209"/>
      <c r="K82" s="204"/>
      <c r="L82" s="204"/>
      <c r="M82" s="204"/>
      <c r="N82" s="204"/>
    </row>
    <row r="83" spans="1:14" ht="39" customHeight="1" x14ac:dyDescent="0.2">
      <c r="A83" s="411"/>
      <c r="B83" s="417"/>
      <c r="C83" s="426"/>
      <c r="D83" s="429"/>
      <c r="E83" s="380">
        <v>2022</v>
      </c>
      <c r="F83" s="380">
        <v>2013</v>
      </c>
      <c r="G83" s="215">
        <v>440.34</v>
      </c>
      <c r="H83" s="210"/>
      <c r="I83" s="223" t="s">
        <v>424</v>
      </c>
      <c r="J83" s="209"/>
      <c r="K83" s="204"/>
      <c r="L83" s="204"/>
      <c r="M83" s="204"/>
      <c r="N83" s="204"/>
    </row>
    <row r="84" spans="1:14" ht="45" customHeight="1" x14ac:dyDescent="0.2">
      <c r="A84" s="411"/>
      <c r="B84" s="417"/>
      <c r="C84" s="426"/>
      <c r="D84" s="429"/>
      <c r="E84" s="380">
        <v>2023</v>
      </c>
      <c r="F84" s="380">
        <v>2013</v>
      </c>
      <c r="G84" s="215">
        <v>558.21</v>
      </c>
      <c r="H84" s="210"/>
      <c r="I84" s="210"/>
      <c r="J84" s="201" t="s">
        <v>425</v>
      </c>
      <c r="K84" s="204"/>
      <c r="L84" s="204"/>
      <c r="M84" s="204"/>
      <c r="N84" s="204"/>
    </row>
    <row r="85" spans="1:14" ht="36.75" customHeight="1" x14ac:dyDescent="0.2">
      <c r="A85" s="411"/>
      <c r="B85" s="417"/>
      <c r="C85" s="426"/>
      <c r="D85" s="429"/>
      <c r="E85" s="380">
        <v>2024</v>
      </c>
      <c r="F85" s="380">
        <v>2013</v>
      </c>
      <c r="G85" s="215">
        <v>0</v>
      </c>
      <c r="H85" s="210"/>
      <c r="I85" s="201"/>
      <c r="J85" s="209"/>
      <c r="K85" s="224" t="s">
        <v>426</v>
      </c>
      <c r="L85" s="204"/>
      <c r="M85" s="204"/>
      <c r="N85" s="204"/>
    </row>
    <row r="86" spans="1:14" ht="27.75" customHeight="1" x14ac:dyDescent="0.2">
      <c r="A86" s="411"/>
      <c r="B86" s="417"/>
      <c r="C86" s="427"/>
      <c r="D86" s="430"/>
      <c r="E86" s="380">
        <v>2025</v>
      </c>
      <c r="F86" s="380">
        <v>2013</v>
      </c>
      <c r="G86" s="215">
        <v>0</v>
      </c>
      <c r="H86" s="210"/>
      <c r="I86" s="201"/>
      <c r="J86" s="209"/>
      <c r="K86" s="204"/>
      <c r="L86" s="224"/>
      <c r="M86" s="204"/>
      <c r="N86" s="204"/>
    </row>
    <row r="87" spans="1:14" ht="35.25" customHeight="1" x14ac:dyDescent="0.2">
      <c r="A87" s="410">
        <v>17</v>
      </c>
      <c r="B87" s="417"/>
      <c r="C87" s="412" t="s">
        <v>339</v>
      </c>
      <c r="D87" s="412" t="s">
        <v>340</v>
      </c>
      <c r="E87" s="380" t="s">
        <v>420</v>
      </c>
      <c r="F87" s="380"/>
      <c r="G87" s="215">
        <v>51.801000000000002</v>
      </c>
      <c r="H87" s="210"/>
      <c r="I87" s="202"/>
      <c r="J87" s="209"/>
      <c r="K87" s="204"/>
      <c r="L87" s="204"/>
      <c r="M87" s="204"/>
      <c r="N87" s="204">
        <v>80</v>
      </c>
    </row>
    <row r="88" spans="1:14" ht="132.75" customHeight="1" x14ac:dyDescent="0.2">
      <c r="A88" s="411"/>
      <c r="B88" s="417"/>
      <c r="C88" s="413"/>
      <c r="D88" s="413"/>
      <c r="E88" s="380">
        <v>2022</v>
      </c>
      <c r="F88" s="380">
        <v>2013</v>
      </c>
      <c r="G88" s="222">
        <v>14</v>
      </c>
      <c r="H88" s="210"/>
      <c r="I88" s="219" t="s">
        <v>427</v>
      </c>
      <c r="J88" s="434" t="s">
        <v>428</v>
      </c>
      <c r="K88" s="435"/>
      <c r="L88" s="225"/>
      <c r="M88" s="204"/>
      <c r="N88" s="213">
        <v>20</v>
      </c>
    </row>
    <row r="89" spans="1:14" ht="58.5" customHeight="1" x14ac:dyDescent="0.2">
      <c r="A89" s="411"/>
      <c r="B89" s="417"/>
      <c r="C89" s="413"/>
      <c r="D89" s="413"/>
      <c r="E89" s="380">
        <v>2023</v>
      </c>
      <c r="F89" s="380">
        <v>2013</v>
      </c>
      <c r="G89" s="215">
        <v>12.6</v>
      </c>
      <c r="H89" s="210"/>
      <c r="I89" s="219" t="s">
        <v>341</v>
      </c>
      <c r="J89" s="209"/>
      <c r="K89" s="204"/>
      <c r="L89" s="204"/>
      <c r="M89" s="204"/>
      <c r="N89" s="204">
        <v>20</v>
      </c>
    </row>
    <row r="90" spans="1:14" ht="52.5" customHeight="1" x14ac:dyDescent="0.2">
      <c r="A90" s="411"/>
      <c r="B90" s="417"/>
      <c r="C90" s="413"/>
      <c r="D90" s="413"/>
      <c r="E90" s="380">
        <v>2024</v>
      </c>
      <c r="F90" s="380">
        <v>2013</v>
      </c>
      <c r="G90" s="215">
        <v>12.6</v>
      </c>
      <c r="H90" s="210"/>
      <c r="I90" s="219" t="s">
        <v>341</v>
      </c>
      <c r="J90" s="209"/>
      <c r="K90" s="204"/>
      <c r="L90" s="204"/>
      <c r="M90" s="204"/>
      <c r="N90" s="204">
        <v>20</v>
      </c>
    </row>
    <row r="91" spans="1:14" ht="51" customHeight="1" x14ac:dyDescent="0.2">
      <c r="A91" s="411"/>
      <c r="B91" s="417"/>
      <c r="C91" s="414"/>
      <c r="D91" s="414"/>
      <c r="E91" s="380">
        <v>2025</v>
      </c>
      <c r="F91" s="380">
        <v>2013</v>
      </c>
      <c r="G91" s="215">
        <v>12.6</v>
      </c>
      <c r="H91" s="210"/>
      <c r="I91" s="219" t="s">
        <v>341</v>
      </c>
      <c r="J91" s="209"/>
      <c r="K91" s="204"/>
      <c r="L91" s="204"/>
      <c r="M91" s="204"/>
      <c r="N91" s="204">
        <v>20</v>
      </c>
    </row>
    <row r="92" spans="1:14" ht="35.25" customHeight="1" x14ac:dyDescent="0.2">
      <c r="A92" s="410">
        <v>18</v>
      </c>
      <c r="B92" s="417"/>
      <c r="C92" s="412" t="s">
        <v>342</v>
      </c>
      <c r="D92" s="412" t="s">
        <v>343</v>
      </c>
      <c r="E92" s="380" t="s">
        <v>420</v>
      </c>
      <c r="F92" s="380"/>
      <c r="G92" s="226">
        <f>G93+G94+G95+G96</f>
        <v>203.72300000000001</v>
      </c>
      <c r="H92" s="210"/>
      <c r="I92" s="202"/>
      <c r="J92" s="209"/>
      <c r="K92" s="204"/>
      <c r="L92" s="204"/>
      <c r="M92" s="204"/>
      <c r="N92" s="204">
        <v>62</v>
      </c>
    </row>
    <row r="93" spans="1:14" ht="20.25" customHeight="1" x14ac:dyDescent="0.2">
      <c r="A93" s="411"/>
      <c r="B93" s="417"/>
      <c r="C93" s="413"/>
      <c r="D93" s="413"/>
      <c r="E93" s="380">
        <v>2022</v>
      </c>
      <c r="F93" s="380">
        <v>2013</v>
      </c>
      <c r="G93" s="215">
        <v>0</v>
      </c>
      <c r="H93" s="210"/>
      <c r="I93" s="219"/>
      <c r="J93" s="192"/>
      <c r="K93" s="204"/>
      <c r="L93" s="204"/>
      <c r="M93" s="204"/>
      <c r="N93" s="204">
        <v>12</v>
      </c>
    </row>
    <row r="94" spans="1:14" ht="35.25" customHeight="1" x14ac:dyDescent="0.2">
      <c r="A94" s="411"/>
      <c r="B94" s="417"/>
      <c r="C94" s="413"/>
      <c r="D94" s="413"/>
      <c r="E94" s="380">
        <v>2023</v>
      </c>
      <c r="F94" s="380">
        <v>2013</v>
      </c>
      <c r="G94" s="215">
        <v>161.977</v>
      </c>
      <c r="H94" s="210"/>
      <c r="I94" s="202"/>
      <c r="J94" s="209"/>
      <c r="K94" s="204"/>
      <c r="L94" s="204"/>
      <c r="M94" s="204"/>
      <c r="N94" s="204">
        <v>20</v>
      </c>
    </row>
    <row r="95" spans="1:14" ht="35.25" customHeight="1" x14ac:dyDescent="0.2">
      <c r="A95" s="411"/>
      <c r="B95" s="417"/>
      <c r="C95" s="413"/>
      <c r="D95" s="413"/>
      <c r="E95" s="380">
        <v>2024</v>
      </c>
      <c r="F95" s="380">
        <v>2013</v>
      </c>
      <c r="G95" s="215">
        <v>41.746000000000002</v>
      </c>
      <c r="H95" s="210"/>
      <c r="I95" s="202"/>
      <c r="J95" s="209"/>
      <c r="K95" s="204"/>
      <c r="L95" s="204"/>
      <c r="M95" s="204"/>
      <c r="N95" s="204">
        <v>15</v>
      </c>
    </row>
    <row r="96" spans="1:14" ht="35.25" customHeight="1" x14ac:dyDescent="0.2">
      <c r="A96" s="411"/>
      <c r="B96" s="417"/>
      <c r="C96" s="414"/>
      <c r="D96" s="414"/>
      <c r="E96" s="380">
        <v>2025</v>
      </c>
      <c r="F96" s="380">
        <v>2013</v>
      </c>
      <c r="G96" s="215">
        <v>0</v>
      </c>
      <c r="H96" s="210"/>
      <c r="I96" s="202"/>
      <c r="J96" s="209"/>
      <c r="K96" s="204"/>
      <c r="L96" s="204"/>
      <c r="M96" s="204"/>
      <c r="N96" s="204">
        <v>15</v>
      </c>
    </row>
    <row r="97" spans="1:14" ht="35.25" customHeight="1" x14ac:dyDescent="0.2">
      <c r="A97" s="410">
        <v>19</v>
      </c>
      <c r="B97" s="417"/>
      <c r="C97" s="412" t="s">
        <v>344</v>
      </c>
      <c r="D97" s="412" t="s">
        <v>343</v>
      </c>
      <c r="E97" s="380" t="s">
        <v>420</v>
      </c>
      <c r="F97" s="380"/>
      <c r="G97" s="226">
        <f>G98+G99+G100+G101</f>
        <v>88.481999999999999</v>
      </c>
      <c r="H97" s="210"/>
      <c r="I97" s="202"/>
      <c r="J97" s="209"/>
      <c r="K97" s="204"/>
      <c r="L97" s="204"/>
      <c r="M97" s="204"/>
      <c r="N97" s="204">
        <v>60</v>
      </c>
    </row>
    <row r="98" spans="1:14" ht="156.75" customHeight="1" x14ac:dyDescent="0.2">
      <c r="A98" s="411"/>
      <c r="B98" s="417"/>
      <c r="C98" s="413"/>
      <c r="D98" s="413"/>
      <c r="E98" s="380">
        <v>2022</v>
      </c>
      <c r="F98" s="380">
        <v>2013</v>
      </c>
      <c r="G98" s="215">
        <v>11.443</v>
      </c>
      <c r="H98" s="210"/>
      <c r="I98" s="219" t="s">
        <v>429</v>
      </c>
      <c r="J98" s="192" t="s">
        <v>345</v>
      </c>
      <c r="K98" s="204"/>
      <c r="L98" s="204"/>
      <c r="M98" s="204"/>
      <c r="N98" s="204">
        <v>12</v>
      </c>
    </row>
    <row r="99" spans="1:14" ht="35.25" customHeight="1" x14ac:dyDescent="0.2">
      <c r="A99" s="411"/>
      <c r="B99" s="417"/>
      <c r="C99" s="413"/>
      <c r="D99" s="413"/>
      <c r="E99" s="380">
        <v>2023</v>
      </c>
      <c r="F99" s="380">
        <v>2013</v>
      </c>
      <c r="G99" s="215">
        <v>75.489000000000004</v>
      </c>
      <c r="H99" s="210"/>
      <c r="I99" s="202"/>
      <c r="J99" s="209"/>
      <c r="K99" s="204"/>
      <c r="L99" s="204"/>
      <c r="M99" s="204"/>
      <c r="N99" s="204">
        <v>20</v>
      </c>
    </row>
    <row r="100" spans="1:14" ht="35.25" customHeight="1" x14ac:dyDescent="0.2">
      <c r="A100" s="411"/>
      <c r="B100" s="417"/>
      <c r="C100" s="413"/>
      <c r="D100" s="413"/>
      <c r="E100" s="380">
        <v>2024</v>
      </c>
      <c r="F100" s="380">
        <v>2013</v>
      </c>
      <c r="G100" s="215">
        <v>1.55</v>
      </c>
      <c r="H100" s="210"/>
      <c r="I100" s="202"/>
      <c r="J100" s="209"/>
      <c r="K100" s="204"/>
      <c r="L100" s="204"/>
      <c r="M100" s="204"/>
      <c r="N100" s="204">
        <v>15</v>
      </c>
    </row>
    <row r="101" spans="1:14" ht="35.25" customHeight="1" x14ac:dyDescent="0.2">
      <c r="A101" s="411"/>
      <c r="B101" s="417"/>
      <c r="C101" s="414"/>
      <c r="D101" s="414"/>
      <c r="E101" s="380">
        <v>2025</v>
      </c>
      <c r="F101" s="380">
        <v>2013</v>
      </c>
      <c r="G101" s="215">
        <v>0</v>
      </c>
      <c r="H101" s="210"/>
      <c r="I101" s="202"/>
      <c r="J101" s="209"/>
      <c r="K101" s="204"/>
      <c r="L101" s="204"/>
      <c r="M101" s="204"/>
      <c r="N101" s="204">
        <v>13</v>
      </c>
    </row>
    <row r="102" spans="1:14" ht="35.25" customHeight="1" x14ac:dyDescent="0.2">
      <c r="A102" s="410">
        <v>20</v>
      </c>
      <c r="B102" s="417"/>
      <c r="C102" s="412" t="s">
        <v>346</v>
      </c>
      <c r="D102" s="412" t="s">
        <v>430</v>
      </c>
      <c r="E102" s="380" t="s">
        <v>420</v>
      </c>
      <c r="F102" s="380"/>
      <c r="G102" s="215">
        <v>455.19</v>
      </c>
      <c r="H102" s="210"/>
      <c r="I102" s="202"/>
      <c r="J102" s="209"/>
      <c r="K102" s="204"/>
      <c r="L102" s="204"/>
      <c r="M102" s="204"/>
      <c r="N102" s="204">
        <v>5</v>
      </c>
    </row>
    <row r="103" spans="1:14" ht="35.25" customHeight="1" x14ac:dyDescent="0.2">
      <c r="A103" s="411"/>
      <c r="B103" s="417"/>
      <c r="C103" s="413"/>
      <c r="D103" s="413"/>
      <c r="E103" s="380">
        <v>2022</v>
      </c>
      <c r="F103" s="380">
        <v>2013</v>
      </c>
      <c r="G103" s="215">
        <v>30</v>
      </c>
      <c r="H103" s="22"/>
      <c r="I103" s="210" t="s">
        <v>324</v>
      </c>
      <c r="J103" s="209"/>
      <c r="K103" s="204"/>
      <c r="L103" s="204"/>
      <c r="M103" s="204"/>
      <c r="N103" s="204">
        <v>5</v>
      </c>
    </row>
    <row r="104" spans="1:14" ht="58.5" customHeight="1" x14ac:dyDescent="0.2">
      <c r="A104" s="411"/>
      <c r="B104" s="417"/>
      <c r="C104" s="413"/>
      <c r="D104" s="413"/>
      <c r="E104" s="380">
        <v>2023</v>
      </c>
      <c r="F104" s="380">
        <v>2013</v>
      </c>
      <c r="G104" s="215">
        <v>200</v>
      </c>
      <c r="H104" s="210"/>
      <c r="I104" s="202"/>
      <c r="J104" s="209"/>
      <c r="K104" s="204"/>
      <c r="L104" s="204"/>
      <c r="M104" s="204"/>
      <c r="N104" s="204"/>
    </row>
    <row r="105" spans="1:14" ht="35.25" customHeight="1" x14ac:dyDescent="0.2">
      <c r="A105" s="411"/>
      <c r="B105" s="417"/>
      <c r="C105" s="413"/>
      <c r="D105" s="413"/>
      <c r="E105" s="380">
        <v>2024</v>
      </c>
      <c r="F105" s="380">
        <v>2013</v>
      </c>
      <c r="G105" s="215">
        <f>G102-G103-G104</f>
        <v>225.19</v>
      </c>
      <c r="H105" s="210"/>
      <c r="I105" s="202"/>
      <c r="J105" s="209"/>
      <c r="K105" s="204"/>
      <c r="L105" s="204"/>
      <c r="M105" s="204"/>
      <c r="N105" s="204"/>
    </row>
    <row r="106" spans="1:14" ht="33" customHeight="1" x14ac:dyDescent="0.2">
      <c r="A106" s="411"/>
      <c r="B106" s="417"/>
      <c r="C106" s="414"/>
      <c r="D106" s="414"/>
      <c r="E106" s="380">
        <v>2025</v>
      </c>
      <c r="F106" s="380">
        <v>2013</v>
      </c>
      <c r="G106" s="215">
        <v>0</v>
      </c>
      <c r="H106" s="210"/>
      <c r="I106" s="202"/>
      <c r="J106" s="209"/>
      <c r="K106" s="204"/>
      <c r="L106" s="204"/>
      <c r="M106" s="204"/>
      <c r="N106" s="204"/>
    </row>
    <row r="107" spans="1:14" ht="33" customHeight="1" x14ac:dyDescent="0.2">
      <c r="A107" s="410">
        <v>21</v>
      </c>
      <c r="B107" s="417"/>
      <c r="C107" s="412" t="s">
        <v>347</v>
      </c>
      <c r="D107" s="428" t="s">
        <v>431</v>
      </c>
      <c r="E107" s="380" t="s">
        <v>420</v>
      </c>
      <c r="F107" s="380"/>
      <c r="G107" s="215">
        <v>47.31</v>
      </c>
      <c r="H107" s="210"/>
      <c r="I107" s="202"/>
      <c r="J107" s="209"/>
      <c r="K107" s="204"/>
      <c r="L107" s="204"/>
      <c r="M107" s="204"/>
      <c r="N107" s="204">
        <v>25</v>
      </c>
    </row>
    <row r="108" spans="1:14" ht="31.5" customHeight="1" x14ac:dyDescent="0.2">
      <c r="A108" s="411"/>
      <c r="B108" s="417"/>
      <c r="C108" s="413"/>
      <c r="D108" s="429"/>
      <c r="E108" s="380">
        <v>2022</v>
      </c>
      <c r="F108" s="380">
        <v>2013</v>
      </c>
      <c r="G108" s="227">
        <v>47.31</v>
      </c>
      <c r="H108" s="210"/>
      <c r="I108" s="207" t="s">
        <v>348</v>
      </c>
      <c r="J108" s="202" t="s">
        <v>349</v>
      </c>
      <c r="K108" s="204"/>
      <c r="L108" s="204"/>
      <c r="M108" s="204"/>
      <c r="N108" s="204">
        <v>25</v>
      </c>
    </row>
    <row r="109" spans="1:14" ht="35.25" customHeight="1" x14ac:dyDescent="0.2">
      <c r="A109" s="411"/>
      <c r="B109" s="417"/>
      <c r="C109" s="413"/>
      <c r="D109" s="429"/>
      <c r="E109" s="380">
        <v>2023</v>
      </c>
      <c r="F109" s="380">
        <v>2013</v>
      </c>
      <c r="G109" s="228">
        <v>0</v>
      </c>
      <c r="H109" s="210"/>
      <c r="I109" s="208"/>
      <c r="J109" s="209"/>
      <c r="K109" s="204"/>
      <c r="L109" s="204"/>
      <c r="M109" s="204"/>
      <c r="N109" s="204"/>
    </row>
    <row r="110" spans="1:14" ht="28.5" customHeight="1" x14ac:dyDescent="0.2">
      <c r="A110" s="411"/>
      <c r="B110" s="417"/>
      <c r="C110" s="413"/>
      <c r="D110" s="429"/>
      <c r="E110" s="380">
        <v>2024</v>
      </c>
      <c r="F110" s="380">
        <v>2013</v>
      </c>
      <c r="G110" s="227">
        <v>0</v>
      </c>
      <c r="H110" s="210"/>
      <c r="I110" s="202"/>
      <c r="J110" s="210"/>
      <c r="K110" s="204"/>
      <c r="L110" s="204"/>
      <c r="M110" s="204"/>
      <c r="N110" s="204"/>
    </row>
    <row r="111" spans="1:14" ht="39" customHeight="1" x14ac:dyDescent="0.2">
      <c r="A111" s="411"/>
      <c r="B111" s="417"/>
      <c r="C111" s="414"/>
      <c r="D111" s="430"/>
      <c r="E111" s="380">
        <v>2025</v>
      </c>
      <c r="F111" s="380">
        <v>2013</v>
      </c>
      <c r="G111" s="215">
        <v>0</v>
      </c>
      <c r="H111" s="210"/>
      <c r="I111" s="202"/>
      <c r="J111" s="209"/>
      <c r="K111" s="204"/>
      <c r="L111" s="204"/>
      <c r="M111" s="204"/>
      <c r="N111" s="204"/>
    </row>
    <row r="112" spans="1:14" ht="39" customHeight="1" x14ac:dyDescent="0.2">
      <c r="A112" s="410">
        <v>22</v>
      </c>
      <c r="B112" s="417"/>
      <c r="C112" s="412" t="s">
        <v>350</v>
      </c>
      <c r="D112" s="428" t="s">
        <v>432</v>
      </c>
      <c r="E112" s="380" t="s">
        <v>420</v>
      </c>
      <c r="F112" s="380"/>
      <c r="G112" s="215">
        <v>12.83</v>
      </c>
      <c r="H112" s="210"/>
      <c r="I112" s="202"/>
      <c r="J112" s="209"/>
      <c r="K112" s="204"/>
      <c r="L112" s="204"/>
      <c r="M112" s="204"/>
      <c r="N112" s="204">
        <v>35</v>
      </c>
    </row>
    <row r="113" spans="1:14" ht="39" customHeight="1" x14ac:dyDescent="0.2">
      <c r="A113" s="411"/>
      <c r="B113" s="417"/>
      <c r="C113" s="413"/>
      <c r="D113" s="429"/>
      <c r="E113" s="380">
        <v>2022</v>
      </c>
      <c r="F113" s="380">
        <v>2013</v>
      </c>
      <c r="G113" s="215">
        <v>12.83</v>
      </c>
      <c r="H113" s="210"/>
      <c r="I113" s="202" t="s">
        <v>349</v>
      </c>
      <c r="J113" s="209"/>
      <c r="K113" s="204"/>
      <c r="L113" s="204"/>
      <c r="M113" s="204"/>
      <c r="N113" s="204">
        <v>35</v>
      </c>
    </row>
    <row r="114" spans="1:14" ht="39" customHeight="1" x14ac:dyDescent="0.2">
      <c r="A114" s="411"/>
      <c r="B114" s="417"/>
      <c r="C114" s="413"/>
      <c r="D114" s="429"/>
      <c r="E114" s="380">
        <v>2023</v>
      </c>
      <c r="F114" s="380">
        <v>2013</v>
      </c>
      <c r="G114" s="215">
        <v>0</v>
      </c>
      <c r="H114" s="210"/>
      <c r="I114" s="202"/>
      <c r="J114" s="209"/>
      <c r="K114" s="204"/>
      <c r="L114" s="204"/>
      <c r="M114" s="204"/>
      <c r="N114" s="204"/>
    </row>
    <row r="115" spans="1:14" ht="39" customHeight="1" x14ac:dyDescent="0.2">
      <c r="A115" s="411"/>
      <c r="B115" s="417"/>
      <c r="C115" s="413"/>
      <c r="D115" s="429"/>
      <c r="E115" s="380">
        <v>2024</v>
      </c>
      <c r="F115" s="380">
        <v>2013</v>
      </c>
      <c r="G115" s="215">
        <v>0</v>
      </c>
      <c r="H115" s="210"/>
      <c r="I115" s="202"/>
      <c r="J115" s="209"/>
      <c r="K115" s="204"/>
      <c r="L115" s="204"/>
      <c r="M115" s="204"/>
      <c r="N115" s="204"/>
    </row>
    <row r="116" spans="1:14" ht="39" customHeight="1" x14ac:dyDescent="0.2">
      <c r="A116" s="411"/>
      <c r="B116" s="417"/>
      <c r="C116" s="414"/>
      <c r="D116" s="430"/>
      <c r="E116" s="380">
        <v>2025</v>
      </c>
      <c r="F116" s="380">
        <v>2013</v>
      </c>
      <c r="G116" s="215">
        <v>0</v>
      </c>
      <c r="H116" s="210"/>
      <c r="I116" s="202"/>
      <c r="J116" s="209"/>
      <c r="K116" s="204"/>
      <c r="L116" s="204"/>
      <c r="M116" s="204"/>
      <c r="N116" s="204"/>
    </row>
    <row r="117" spans="1:14" ht="39" customHeight="1" x14ac:dyDescent="0.2">
      <c r="A117" s="410">
        <v>23</v>
      </c>
      <c r="B117" s="417"/>
      <c r="C117" s="412" t="s">
        <v>351</v>
      </c>
      <c r="D117" s="412" t="s">
        <v>433</v>
      </c>
      <c r="E117" s="380" t="s">
        <v>420</v>
      </c>
      <c r="F117" s="380"/>
      <c r="G117" s="215">
        <v>46.6</v>
      </c>
      <c r="H117" s="210"/>
      <c r="I117" s="202"/>
      <c r="J117" s="209"/>
      <c r="K117" s="204"/>
      <c r="L117" s="204"/>
      <c r="M117" s="204"/>
      <c r="N117" s="204">
        <v>15</v>
      </c>
    </row>
    <row r="118" spans="1:14" ht="39" customHeight="1" x14ac:dyDescent="0.2">
      <c r="A118" s="411"/>
      <c r="B118" s="417"/>
      <c r="C118" s="413"/>
      <c r="D118" s="413"/>
      <c r="E118" s="380">
        <v>2022</v>
      </c>
      <c r="F118" s="380">
        <v>2013</v>
      </c>
      <c r="G118" s="215">
        <v>46.6</v>
      </c>
      <c r="H118" s="210"/>
      <c r="I118" s="202" t="s">
        <v>349</v>
      </c>
      <c r="J118" s="209"/>
      <c r="K118" s="204"/>
      <c r="L118" s="204"/>
      <c r="M118" s="204"/>
      <c r="N118" s="204">
        <v>15</v>
      </c>
    </row>
    <row r="119" spans="1:14" ht="39" customHeight="1" x14ac:dyDescent="0.2">
      <c r="A119" s="411"/>
      <c r="B119" s="417"/>
      <c r="C119" s="413"/>
      <c r="D119" s="413"/>
      <c r="E119" s="380">
        <v>2023</v>
      </c>
      <c r="F119" s="380">
        <v>2013</v>
      </c>
      <c r="G119" s="215">
        <v>0</v>
      </c>
      <c r="H119" s="210"/>
      <c r="I119" s="202"/>
      <c r="J119" s="209"/>
      <c r="K119" s="204"/>
      <c r="L119" s="204"/>
      <c r="M119" s="204"/>
      <c r="N119" s="204"/>
    </row>
    <row r="120" spans="1:14" ht="39" customHeight="1" x14ac:dyDescent="0.2">
      <c r="A120" s="411"/>
      <c r="B120" s="417"/>
      <c r="C120" s="413"/>
      <c r="D120" s="413"/>
      <c r="E120" s="380">
        <v>2024</v>
      </c>
      <c r="F120" s="380">
        <v>2013</v>
      </c>
      <c r="G120" s="215">
        <v>0</v>
      </c>
      <c r="H120" s="210"/>
      <c r="I120" s="202"/>
      <c r="J120" s="209"/>
      <c r="K120" s="204"/>
      <c r="L120" s="204"/>
      <c r="M120" s="204"/>
      <c r="N120" s="204"/>
    </row>
    <row r="121" spans="1:14" ht="39" customHeight="1" x14ac:dyDescent="0.2">
      <c r="A121" s="411"/>
      <c r="B121" s="417"/>
      <c r="C121" s="414"/>
      <c r="D121" s="414"/>
      <c r="E121" s="380">
        <v>2025</v>
      </c>
      <c r="F121" s="380">
        <v>2013</v>
      </c>
      <c r="G121" s="215">
        <v>0</v>
      </c>
      <c r="H121" s="210"/>
      <c r="I121" s="202"/>
      <c r="J121" s="209"/>
      <c r="K121" s="204"/>
      <c r="L121" s="204"/>
      <c r="M121" s="204"/>
      <c r="N121" s="204"/>
    </row>
    <row r="122" spans="1:14" ht="39" customHeight="1" x14ac:dyDescent="0.2">
      <c r="A122" s="410">
        <v>24</v>
      </c>
      <c r="B122" s="417"/>
      <c r="C122" s="412" t="s">
        <v>352</v>
      </c>
      <c r="D122" s="428" t="s">
        <v>353</v>
      </c>
      <c r="E122" s="380" t="s">
        <v>420</v>
      </c>
      <c r="F122" s="380"/>
      <c r="G122" s="215">
        <v>120</v>
      </c>
      <c r="H122" s="210"/>
      <c r="I122" s="202"/>
      <c r="J122" s="209"/>
      <c r="K122" s="204"/>
      <c r="L122" s="204"/>
      <c r="M122" s="204"/>
      <c r="N122" s="204">
        <v>15</v>
      </c>
    </row>
    <row r="123" spans="1:14" ht="39" customHeight="1" x14ac:dyDescent="0.2">
      <c r="A123" s="411"/>
      <c r="B123" s="417"/>
      <c r="C123" s="413"/>
      <c r="D123" s="429"/>
      <c r="E123" s="380">
        <v>2022</v>
      </c>
      <c r="F123" s="380">
        <v>2013</v>
      </c>
      <c r="G123" s="215"/>
      <c r="H123" s="210"/>
      <c r="I123" s="202"/>
      <c r="J123" s="209"/>
      <c r="K123" s="204"/>
      <c r="L123" s="204"/>
      <c r="M123" s="204"/>
      <c r="N123" s="204"/>
    </row>
    <row r="124" spans="1:14" ht="39" customHeight="1" x14ac:dyDescent="0.2">
      <c r="A124" s="411"/>
      <c r="B124" s="417"/>
      <c r="C124" s="413"/>
      <c r="D124" s="429"/>
      <c r="E124" s="380">
        <v>2023</v>
      </c>
      <c r="F124" s="380">
        <v>2013</v>
      </c>
      <c r="G124" s="215">
        <v>20</v>
      </c>
      <c r="H124" s="210"/>
      <c r="I124" s="202" t="s">
        <v>354</v>
      </c>
      <c r="J124" s="209"/>
      <c r="K124" s="204"/>
      <c r="L124" s="204"/>
      <c r="M124" s="204"/>
      <c r="N124" s="204">
        <v>5</v>
      </c>
    </row>
    <row r="125" spans="1:14" ht="63.75" customHeight="1" x14ac:dyDescent="0.2">
      <c r="A125" s="411"/>
      <c r="B125" s="417"/>
      <c r="C125" s="413"/>
      <c r="D125" s="429"/>
      <c r="E125" s="380">
        <v>2024</v>
      </c>
      <c r="F125" s="380">
        <v>2013</v>
      </c>
      <c r="G125" s="215">
        <v>20</v>
      </c>
      <c r="H125" s="210"/>
      <c r="I125" s="202"/>
      <c r="J125" s="209" t="s">
        <v>355</v>
      </c>
      <c r="K125" s="204"/>
      <c r="L125" s="204"/>
      <c r="M125" s="204"/>
      <c r="N125" s="204">
        <v>10</v>
      </c>
    </row>
    <row r="126" spans="1:14" ht="66.75" customHeight="1" x14ac:dyDescent="0.2">
      <c r="A126" s="411"/>
      <c r="B126" s="417"/>
      <c r="C126" s="414"/>
      <c r="D126" s="430"/>
      <c r="E126" s="380">
        <v>2025</v>
      </c>
      <c r="F126" s="380">
        <v>2013</v>
      </c>
      <c r="G126" s="215">
        <v>90</v>
      </c>
      <c r="H126" s="210"/>
      <c r="I126" s="202"/>
      <c r="J126" s="209"/>
      <c r="K126" s="204"/>
      <c r="L126" s="204"/>
      <c r="M126" s="204"/>
      <c r="N126" s="204"/>
    </row>
    <row r="127" spans="1:14" ht="66.75" customHeight="1" x14ac:dyDescent="0.2">
      <c r="A127" s="410">
        <v>25</v>
      </c>
      <c r="B127" s="417"/>
      <c r="C127" s="412" t="s">
        <v>356</v>
      </c>
      <c r="D127" s="428" t="s">
        <v>353</v>
      </c>
      <c r="E127" s="380" t="s">
        <v>420</v>
      </c>
      <c r="F127" s="380"/>
      <c r="G127" s="215">
        <v>170</v>
      </c>
      <c r="H127" s="210"/>
      <c r="I127" s="202"/>
      <c r="J127" s="209"/>
      <c r="K127" s="204"/>
      <c r="L127" s="204"/>
      <c r="M127" s="204"/>
      <c r="N127" s="204">
        <v>10</v>
      </c>
    </row>
    <row r="128" spans="1:14" ht="42.75" customHeight="1" x14ac:dyDescent="0.2">
      <c r="A128" s="411"/>
      <c r="B128" s="417"/>
      <c r="C128" s="413"/>
      <c r="D128" s="429"/>
      <c r="E128" s="380">
        <v>2022</v>
      </c>
      <c r="F128" s="380">
        <v>2013</v>
      </c>
      <c r="G128" s="215">
        <v>0</v>
      </c>
      <c r="H128" s="210"/>
      <c r="I128" s="202"/>
      <c r="J128" s="209"/>
      <c r="K128" s="204"/>
      <c r="L128" s="204"/>
      <c r="M128" s="204"/>
      <c r="N128" s="204"/>
    </row>
    <row r="129" spans="1:14" ht="38.25" customHeight="1" x14ac:dyDescent="0.2">
      <c r="A129" s="411"/>
      <c r="B129" s="417"/>
      <c r="C129" s="413"/>
      <c r="D129" s="429"/>
      <c r="E129" s="380">
        <v>2023</v>
      </c>
      <c r="F129" s="380">
        <v>2013</v>
      </c>
      <c r="G129" s="215">
        <v>30</v>
      </c>
      <c r="H129" s="210"/>
      <c r="I129" s="202" t="s">
        <v>354</v>
      </c>
      <c r="J129" s="209"/>
      <c r="K129" s="204"/>
      <c r="L129" s="204"/>
      <c r="M129" s="204"/>
      <c r="N129" s="204">
        <v>5</v>
      </c>
    </row>
    <row r="130" spans="1:14" ht="43.5" customHeight="1" x14ac:dyDescent="0.2">
      <c r="A130" s="411"/>
      <c r="B130" s="417"/>
      <c r="C130" s="413"/>
      <c r="D130" s="429"/>
      <c r="E130" s="380">
        <v>2024</v>
      </c>
      <c r="F130" s="380">
        <v>2013</v>
      </c>
      <c r="G130" s="215">
        <v>140</v>
      </c>
      <c r="H130" s="210"/>
      <c r="I130" s="202"/>
      <c r="J130" s="209" t="s">
        <v>355</v>
      </c>
      <c r="K130" s="204"/>
      <c r="L130" s="204"/>
      <c r="M130" s="204"/>
      <c r="N130" s="204">
        <v>5</v>
      </c>
    </row>
    <row r="131" spans="1:14" ht="39.75" customHeight="1" x14ac:dyDescent="0.2">
      <c r="A131" s="411"/>
      <c r="B131" s="417"/>
      <c r="C131" s="414"/>
      <c r="D131" s="430"/>
      <c r="E131" s="380">
        <v>2025</v>
      </c>
      <c r="F131" s="380">
        <v>2013</v>
      </c>
      <c r="G131" s="215">
        <v>0</v>
      </c>
      <c r="H131" s="210"/>
      <c r="I131" s="202"/>
      <c r="J131" s="209"/>
      <c r="K131" s="204"/>
      <c r="L131" s="204"/>
      <c r="M131" s="204"/>
      <c r="N131" s="204"/>
    </row>
    <row r="132" spans="1:14" ht="42" customHeight="1" x14ac:dyDescent="0.2">
      <c r="A132" s="410">
        <v>26</v>
      </c>
      <c r="B132" s="417"/>
      <c r="C132" s="412" t="s">
        <v>357</v>
      </c>
      <c r="D132" s="428" t="s">
        <v>358</v>
      </c>
      <c r="E132" s="380" t="s">
        <v>420</v>
      </c>
      <c r="F132" s="380"/>
      <c r="G132" s="215">
        <v>190</v>
      </c>
      <c r="H132" s="210"/>
      <c r="I132" s="202"/>
      <c r="J132" s="209"/>
      <c r="K132" s="204"/>
      <c r="L132" s="204"/>
      <c r="M132" s="204"/>
      <c r="N132" s="204">
        <v>15</v>
      </c>
    </row>
    <row r="133" spans="1:14" ht="49.5" customHeight="1" x14ac:dyDescent="0.2">
      <c r="A133" s="411"/>
      <c r="B133" s="417"/>
      <c r="C133" s="413"/>
      <c r="D133" s="429"/>
      <c r="E133" s="380">
        <v>2022</v>
      </c>
      <c r="F133" s="380">
        <v>2013</v>
      </c>
      <c r="G133" s="215">
        <v>0</v>
      </c>
      <c r="H133" s="210"/>
      <c r="I133" s="202"/>
      <c r="J133" s="209"/>
      <c r="K133" s="204"/>
      <c r="L133" s="204"/>
      <c r="M133" s="204"/>
      <c r="N133" s="204"/>
    </row>
    <row r="134" spans="1:14" ht="39.75" customHeight="1" x14ac:dyDescent="0.2">
      <c r="A134" s="411"/>
      <c r="B134" s="417"/>
      <c r="C134" s="413"/>
      <c r="D134" s="429"/>
      <c r="E134" s="380">
        <v>2023</v>
      </c>
      <c r="F134" s="380">
        <v>2013</v>
      </c>
      <c r="G134" s="215">
        <v>165</v>
      </c>
      <c r="H134" s="210"/>
      <c r="I134" s="202" t="s">
        <v>354</v>
      </c>
      <c r="J134" s="209"/>
      <c r="K134" s="204"/>
      <c r="L134" s="204"/>
      <c r="M134" s="204"/>
      <c r="N134" s="204">
        <v>10</v>
      </c>
    </row>
    <row r="135" spans="1:14" ht="58.5" customHeight="1" x14ac:dyDescent="0.2">
      <c r="A135" s="411"/>
      <c r="B135" s="417"/>
      <c r="C135" s="413"/>
      <c r="D135" s="429"/>
      <c r="E135" s="380">
        <v>2024</v>
      </c>
      <c r="F135" s="380">
        <v>2013</v>
      </c>
      <c r="G135" s="215">
        <v>25</v>
      </c>
      <c r="H135" s="210"/>
      <c r="I135" s="202"/>
      <c r="J135" s="209" t="s">
        <v>355</v>
      </c>
      <c r="K135" s="204"/>
      <c r="L135" s="204"/>
      <c r="M135" s="204"/>
      <c r="N135" s="204">
        <v>5</v>
      </c>
    </row>
    <row r="136" spans="1:14" ht="54" customHeight="1" x14ac:dyDescent="0.2">
      <c r="A136" s="411"/>
      <c r="B136" s="417"/>
      <c r="C136" s="414"/>
      <c r="D136" s="430"/>
      <c r="E136" s="380">
        <v>2025</v>
      </c>
      <c r="F136" s="380">
        <v>2013</v>
      </c>
      <c r="G136" s="215">
        <v>0</v>
      </c>
      <c r="H136" s="210"/>
      <c r="I136" s="202"/>
      <c r="J136" s="209"/>
      <c r="K136" s="204"/>
      <c r="L136" s="204"/>
      <c r="M136" s="204"/>
      <c r="N136" s="204"/>
    </row>
    <row r="137" spans="1:14" ht="54" customHeight="1" x14ac:dyDescent="0.2">
      <c r="A137" s="410">
        <v>27</v>
      </c>
      <c r="B137" s="417"/>
      <c r="C137" s="412" t="s">
        <v>359</v>
      </c>
      <c r="D137" s="428" t="s">
        <v>358</v>
      </c>
      <c r="E137" s="380" t="s">
        <v>420</v>
      </c>
      <c r="F137" s="380"/>
      <c r="G137" s="215">
        <v>60</v>
      </c>
      <c r="H137" s="210"/>
      <c r="I137" s="387" t="s">
        <v>360</v>
      </c>
      <c r="J137" s="209"/>
      <c r="K137" s="204"/>
      <c r="L137" s="204"/>
      <c r="M137" s="204"/>
      <c r="N137" s="204">
        <v>15</v>
      </c>
    </row>
    <row r="138" spans="1:14" ht="54" customHeight="1" x14ac:dyDescent="0.2">
      <c r="A138" s="411"/>
      <c r="B138" s="417"/>
      <c r="C138" s="413"/>
      <c r="D138" s="429"/>
      <c r="E138" s="380">
        <v>2022</v>
      </c>
      <c r="F138" s="380">
        <v>2013</v>
      </c>
      <c r="G138" s="215"/>
      <c r="H138" s="210"/>
      <c r="I138" s="388"/>
      <c r="J138" s="209"/>
      <c r="K138" s="204"/>
      <c r="L138" s="204"/>
      <c r="M138" s="204"/>
      <c r="N138" s="204"/>
    </row>
    <row r="139" spans="1:14" ht="54" customHeight="1" x14ac:dyDescent="0.2">
      <c r="A139" s="411"/>
      <c r="B139" s="417"/>
      <c r="C139" s="413"/>
      <c r="D139" s="429"/>
      <c r="E139" s="380">
        <v>2023</v>
      </c>
      <c r="F139" s="380">
        <v>2013</v>
      </c>
      <c r="G139" s="215">
        <v>20</v>
      </c>
      <c r="H139" s="210"/>
      <c r="I139" s="388"/>
      <c r="J139" s="209"/>
      <c r="K139" s="204"/>
      <c r="L139" s="204"/>
      <c r="M139" s="204"/>
      <c r="N139" s="204">
        <v>5</v>
      </c>
    </row>
    <row r="140" spans="1:14" ht="54" customHeight="1" x14ac:dyDescent="0.2">
      <c r="A140" s="411"/>
      <c r="B140" s="417"/>
      <c r="C140" s="413"/>
      <c r="D140" s="429"/>
      <c r="E140" s="380">
        <v>2024</v>
      </c>
      <c r="F140" s="380">
        <v>2013</v>
      </c>
      <c r="G140" s="215">
        <v>20</v>
      </c>
      <c r="H140" s="210"/>
      <c r="I140" s="388"/>
      <c r="J140" s="209"/>
      <c r="K140" s="204"/>
      <c r="L140" s="204"/>
      <c r="M140" s="204"/>
      <c r="N140" s="204">
        <v>5</v>
      </c>
    </row>
    <row r="141" spans="1:14" ht="54" customHeight="1" x14ac:dyDescent="0.2">
      <c r="A141" s="411"/>
      <c r="B141" s="417"/>
      <c r="C141" s="414"/>
      <c r="D141" s="430"/>
      <c r="E141" s="380">
        <v>2025</v>
      </c>
      <c r="F141" s="380">
        <v>2013</v>
      </c>
      <c r="G141" s="215">
        <v>20</v>
      </c>
      <c r="H141" s="210"/>
      <c r="I141" s="389"/>
      <c r="J141" s="209"/>
      <c r="K141" s="204"/>
      <c r="L141" s="204"/>
      <c r="M141" s="204"/>
      <c r="N141" s="204">
        <v>5</v>
      </c>
    </row>
    <row r="142" spans="1:14" ht="54" customHeight="1" x14ac:dyDescent="0.2">
      <c r="A142" s="410">
        <v>28</v>
      </c>
      <c r="B142" s="417"/>
      <c r="C142" s="412" t="s">
        <v>361</v>
      </c>
      <c r="D142" s="412" t="s">
        <v>362</v>
      </c>
      <c r="E142" s="380" t="s">
        <v>420</v>
      </c>
      <c r="F142" s="380"/>
      <c r="G142" s="215">
        <v>230</v>
      </c>
      <c r="H142" s="210"/>
      <c r="I142" s="209"/>
      <c r="J142" s="209"/>
      <c r="K142" s="204"/>
      <c r="L142" s="204"/>
      <c r="M142" s="204"/>
      <c r="N142" s="204">
        <v>10</v>
      </c>
    </row>
    <row r="143" spans="1:14" ht="54" customHeight="1" x14ac:dyDescent="0.2">
      <c r="A143" s="411"/>
      <c r="B143" s="417"/>
      <c r="C143" s="413"/>
      <c r="D143" s="413"/>
      <c r="E143" s="380">
        <v>2022</v>
      </c>
      <c r="F143" s="380">
        <v>2013</v>
      </c>
      <c r="G143" s="215">
        <v>0</v>
      </c>
      <c r="H143" s="210"/>
      <c r="I143" s="209"/>
      <c r="J143" s="209"/>
      <c r="K143" s="204"/>
      <c r="L143" s="204"/>
      <c r="M143" s="204"/>
      <c r="N143" s="204"/>
    </row>
    <row r="144" spans="1:14" ht="54" customHeight="1" x14ac:dyDescent="0.2">
      <c r="A144" s="411"/>
      <c r="B144" s="417"/>
      <c r="C144" s="413"/>
      <c r="D144" s="413"/>
      <c r="E144" s="380">
        <v>2023</v>
      </c>
      <c r="F144" s="380">
        <v>2013</v>
      </c>
      <c r="G144" s="215">
        <v>30</v>
      </c>
      <c r="H144" s="210"/>
      <c r="I144" s="209"/>
      <c r="J144" s="209"/>
      <c r="K144" s="204"/>
      <c r="L144" s="204"/>
      <c r="M144" s="204"/>
      <c r="N144" s="204">
        <v>5</v>
      </c>
    </row>
    <row r="145" spans="1:14" ht="54" customHeight="1" x14ac:dyDescent="0.2">
      <c r="A145" s="411"/>
      <c r="B145" s="417"/>
      <c r="C145" s="413"/>
      <c r="D145" s="413"/>
      <c r="E145" s="380">
        <v>2024</v>
      </c>
      <c r="F145" s="380">
        <v>2013</v>
      </c>
      <c r="G145" s="215">
        <v>100</v>
      </c>
      <c r="H145" s="210"/>
      <c r="I145" s="209"/>
      <c r="J145" s="209"/>
      <c r="K145" s="204"/>
      <c r="L145" s="204"/>
      <c r="M145" s="204"/>
      <c r="N145" s="204">
        <v>5</v>
      </c>
    </row>
    <row r="146" spans="1:14" ht="54" customHeight="1" x14ac:dyDescent="0.2">
      <c r="A146" s="411"/>
      <c r="B146" s="417"/>
      <c r="C146" s="414"/>
      <c r="D146" s="414"/>
      <c r="E146" s="380">
        <v>2025</v>
      </c>
      <c r="F146" s="380">
        <v>2013</v>
      </c>
      <c r="G146" s="215">
        <v>100</v>
      </c>
      <c r="H146" s="210"/>
      <c r="I146" s="209"/>
      <c r="J146" s="209"/>
      <c r="K146" s="204"/>
      <c r="L146" s="204"/>
      <c r="M146" s="204"/>
      <c r="N146" s="204"/>
    </row>
    <row r="147" spans="1:14" ht="126.75" customHeight="1" x14ac:dyDescent="0.2">
      <c r="A147" s="410">
        <v>29</v>
      </c>
      <c r="B147" s="417"/>
      <c r="C147" s="412" t="s">
        <v>363</v>
      </c>
      <c r="D147" s="412" t="s">
        <v>364</v>
      </c>
      <c r="E147" s="380" t="s">
        <v>420</v>
      </c>
      <c r="F147" s="380"/>
      <c r="G147" s="215">
        <v>850</v>
      </c>
      <c r="H147" s="210"/>
      <c r="I147" s="192" t="s">
        <v>365</v>
      </c>
      <c r="J147" s="209"/>
      <c r="K147" s="204"/>
      <c r="L147" s="204"/>
      <c r="M147" s="204"/>
      <c r="N147" s="204">
        <v>25</v>
      </c>
    </row>
    <row r="148" spans="1:14" ht="54" customHeight="1" x14ac:dyDescent="0.2">
      <c r="A148" s="411"/>
      <c r="B148" s="417"/>
      <c r="C148" s="413"/>
      <c r="D148" s="413"/>
      <c r="E148" s="380">
        <v>2022</v>
      </c>
      <c r="F148" s="380">
        <v>2013</v>
      </c>
      <c r="G148" s="215"/>
      <c r="H148" s="210"/>
      <c r="I148" s="209"/>
      <c r="J148" s="209"/>
      <c r="K148" s="204"/>
      <c r="L148" s="204"/>
      <c r="M148" s="204"/>
      <c r="N148" s="204">
        <v>0</v>
      </c>
    </row>
    <row r="149" spans="1:14" ht="54" customHeight="1" x14ac:dyDescent="0.2">
      <c r="A149" s="411"/>
      <c r="B149" s="417"/>
      <c r="C149" s="413"/>
      <c r="D149" s="413"/>
      <c r="E149" s="380">
        <v>2023</v>
      </c>
      <c r="F149" s="380">
        <v>2013</v>
      </c>
      <c r="G149" s="215">
        <v>50</v>
      </c>
      <c r="H149" s="210"/>
      <c r="I149" s="192" t="s">
        <v>324</v>
      </c>
      <c r="J149" s="192"/>
      <c r="K149" s="204"/>
      <c r="L149" s="204"/>
      <c r="M149" s="204"/>
      <c r="N149" s="204">
        <v>5</v>
      </c>
    </row>
    <row r="150" spans="1:14" ht="54" customHeight="1" x14ac:dyDescent="0.2">
      <c r="A150" s="411"/>
      <c r="B150" s="417"/>
      <c r="C150" s="413"/>
      <c r="D150" s="413"/>
      <c r="E150" s="380">
        <v>2024</v>
      </c>
      <c r="F150" s="380">
        <v>2013</v>
      </c>
      <c r="G150" s="215">
        <v>100</v>
      </c>
      <c r="H150" s="210"/>
      <c r="I150" s="192"/>
      <c r="J150" s="192" t="s">
        <v>366</v>
      </c>
      <c r="K150" s="204"/>
      <c r="L150" s="204"/>
      <c r="M150" s="204"/>
      <c r="N150" s="204">
        <v>10</v>
      </c>
    </row>
    <row r="151" spans="1:14" ht="54" customHeight="1" x14ac:dyDescent="0.2">
      <c r="A151" s="411"/>
      <c r="B151" s="417"/>
      <c r="C151" s="414"/>
      <c r="D151" s="414"/>
      <c r="E151" s="380">
        <v>2025</v>
      </c>
      <c r="F151" s="380">
        <v>2013</v>
      </c>
      <c r="G151" s="215">
        <v>700</v>
      </c>
      <c r="H151" s="210"/>
      <c r="I151" s="209"/>
      <c r="J151" s="209"/>
      <c r="K151" s="212" t="s">
        <v>367</v>
      </c>
      <c r="L151" s="204"/>
      <c r="M151" s="204"/>
      <c r="N151" s="204">
        <v>10</v>
      </c>
    </row>
    <row r="152" spans="1:14" ht="36" customHeight="1" x14ac:dyDescent="0.2">
      <c r="A152" s="410">
        <v>30</v>
      </c>
      <c r="B152" s="417"/>
      <c r="C152" s="412" t="s">
        <v>368</v>
      </c>
      <c r="D152" s="412" t="s">
        <v>369</v>
      </c>
      <c r="E152" s="380" t="s">
        <v>420</v>
      </c>
      <c r="F152" s="380"/>
      <c r="G152" s="215">
        <v>1613.6</v>
      </c>
      <c r="H152" s="210"/>
      <c r="I152" s="412" t="s">
        <v>370</v>
      </c>
      <c r="J152" s="209"/>
      <c r="K152" s="204"/>
      <c r="L152" s="204"/>
      <c r="M152" s="204"/>
      <c r="N152" s="204">
        <v>70</v>
      </c>
    </row>
    <row r="153" spans="1:14" ht="57.75" customHeight="1" x14ac:dyDescent="0.2">
      <c r="A153" s="411"/>
      <c r="B153" s="417"/>
      <c r="C153" s="413"/>
      <c r="D153" s="413"/>
      <c r="E153" s="380">
        <v>2022</v>
      </c>
      <c r="F153" s="380">
        <v>2013</v>
      </c>
      <c r="G153" s="215"/>
      <c r="H153" s="210"/>
      <c r="I153" s="413"/>
      <c r="J153" s="209"/>
      <c r="K153" s="204"/>
      <c r="L153" s="204"/>
      <c r="M153" s="204"/>
      <c r="N153" s="204">
        <v>20</v>
      </c>
    </row>
    <row r="154" spans="1:14" ht="30.75" customHeight="1" x14ac:dyDescent="0.2">
      <c r="A154" s="411"/>
      <c r="B154" s="417"/>
      <c r="C154" s="413"/>
      <c r="D154" s="413"/>
      <c r="E154" s="380">
        <v>2023</v>
      </c>
      <c r="F154" s="380">
        <v>2013</v>
      </c>
      <c r="G154" s="215">
        <v>1613.6</v>
      </c>
      <c r="H154" s="210"/>
      <c r="I154" s="413"/>
      <c r="J154" s="209"/>
      <c r="K154" s="204"/>
      <c r="L154" s="204"/>
      <c r="M154" s="204"/>
      <c r="N154" s="204">
        <v>20</v>
      </c>
    </row>
    <row r="155" spans="1:14" ht="78.75" customHeight="1" x14ac:dyDescent="0.2">
      <c r="A155" s="411"/>
      <c r="B155" s="417"/>
      <c r="C155" s="413"/>
      <c r="D155" s="413"/>
      <c r="E155" s="380">
        <v>2024</v>
      </c>
      <c r="F155" s="380">
        <v>2013</v>
      </c>
      <c r="G155" s="215"/>
      <c r="H155" s="210"/>
      <c r="I155" s="413"/>
      <c r="J155" s="209"/>
      <c r="K155" s="204"/>
      <c r="L155" s="204"/>
      <c r="M155" s="204"/>
      <c r="N155" s="204">
        <v>20</v>
      </c>
    </row>
    <row r="156" spans="1:14" ht="79.5" customHeight="1" x14ac:dyDescent="0.2">
      <c r="A156" s="411"/>
      <c r="B156" s="417"/>
      <c r="C156" s="414"/>
      <c r="D156" s="414"/>
      <c r="E156" s="380">
        <v>2025</v>
      </c>
      <c r="F156" s="380">
        <v>2013</v>
      </c>
      <c r="G156" s="215"/>
      <c r="H156" s="210"/>
      <c r="I156" s="414"/>
      <c r="J156" s="209"/>
      <c r="K156" s="204"/>
      <c r="L156" s="204"/>
      <c r="M156" s="204"/>
      <c r="N156" s="204">
        <v>10</v>
      </c>
    </row>
    <row r="157" spans="1:14" s="152" customFormat="1" ht="16.5" thickBot="1" x14ac:dyDescent="0.3">
      <c r="A157" s="437" t="s">
        <v>119</v>
      </c>
      <c r="B157" s="437"/>
      <c r="C157" s="437"/>
      <c r="D157" s="437"/>
      <c r="E157" s="437"/>
      <c r="F157" s="437"/>
      <c r="G157" s="235">
        <f>G7+G12+G17+G22+G27+G32+G37+G42+G47+G52+G57+G62+G67+G72+G77+G82+G87+G92+G97+G102+G107+G112+G117+G122+G127+G132+G137+G142+G147+G152</f>
        <v>17721.903819999996</v>
      </c>
      <c r="H157" s="231">
        <f>H7+H12+H17+H22+H27+H32+H37+H42+H47+H52+H57+H62+H67+H72+H77+H82+H87+H92+H102+H107+H112+H117+H122+H127+H132+H137+H142++H147+H152</f>
        <v>1298.22</v>
      </c>
      <c r="I157" s="232"/>
      <c r="J157" s="232"/>
      <c r="K157" s="232"/>
      <c r="L157" s="232"/>
      <c r="M157" s="232"/>
      <c r="N157" s="233">
        <f>N7+N12+N17+N22+N26+N32+N37+N42+N47+N52+N57+N62+N67+N72+N77+N87+N92+N97+N102+N107+N112+N117+N122+N127+N132+N137+N142+N147+N152</f>
        <v>1595</v>
      </c>
    </row>
    <row r="158" spans="1:14" s="153" customFormat="1" ht="34.5" customHeight="1" x14ac:dyDescent="0.25">
      <c r="A158" s="436">
        <v>1</v>
      </c>
      <c r="B158" s="384" t="s">
        <v>371</v>
      </c>
      <c r="C158" s="387" t="s">
        <v>372</v>
      </c>
      <c r="D158" s="387" t="s">
        <v>373</v>
      </c>
      <c r="E158" s="390" t="s">
        <v>420</v>
      </c>
      <c r="F158" s="391"/>
      <c r="G158" s="210" t="s">
        <v>374</v>
      </c>
      <c r="H158" s="210"/>
      <c r="I158" s="210"/>
      <c r="J158" s="210"/>
      <c r="K158" s="210"/>
      <c r="L158" s="210"/>
      <c r="M158" s="210"/>
      <c r="N158" s="210"/>
    </row>
    <row r="159" spans="1:14" s="153" customFormat="1" ht="15.75" x14ac:dyDescent="0.25">
      <c r="A159" s="436"/>
      <c r="B159" s="385"/>
      <c r="C159" s="388"/>
      <c r="D159" s="388"/>
      <c r="E159" s="380">
        <v>2022</v>
      </c>
      <c r="F159" s="380">
        <v>2013</v>
      </c>
      <c r="G159" s="210"/>
      <c r="H159" s="210"/>
      <c r="I159" s="210"/>
      <c r="J159" s="210"/>
      <c r="K159" s="210"/>
      <c r="L159" s="210"/>
      <c r="M159" s="210"/>
      <c r="N159" s="210"/>
    </row>
    <row r="160" spans="1:14" s="153" customFormat="1" ht="15.75" x14ac:dyDescent="0.25">
      <c r="A160" s="436"/>
      <c r="B160" s="385"/>
      <c r="C160" s="388"/>
      <c r="D160" s="388"/>
      <c r="E160" s="380">
        <v>2023</v>
      </c>
      <c r="F160" s="380">
        <v>2013</v>
      </c>
      <c r="G160" s="210"/>
      <c r="H160" s="210"/>
      <c r="I160" s="210"/>
      <c r="J160" s="210"/>
      <c r="K160" s="210"/>
      <c r="L160" s="210"/>
      <c r="M160" s="210"/>
      <c r="N160" s="210"/>
    </row>
    <row r="161" spans="1:14" s="153" customFormat="1" ht="15.75" x14ac:dyDescent="0.25">
      <c r="A161" s="436"/>
      <c r="B161" s="385"/>
      <c r="C161" s="388"/>
      <c r="D161" s="388"/>
      <c r="E161" s="380">
        <v>2024</v>
      </c>
      <c r="F161" s="380">
        <v>2013</v>
      </c>
      <c r="G161" s="210"/>
      <c r="H161" s="210"/>
      <c r="I161" s="210"/>
      <c r="J161" s="210"/>
      <c r="K161" s="210"/>
      <c r="L161" s="210"/>
      <c r="M161" s="210"/>
      <c r="N161" s="210"/>
    </row>
    <row r="162" spans="1:14" s="153" customFormat="1" ht="16.5" thickBot="1" x14ac:dyDescent="0.3">
      <c r="A162" s="436"/>
      <c r="B162" s="385"/>
      <c r="C162" s="389"/>
      <c r="D162" s="389"/>
      <c r="E162" s="380">
        <v>2025</v>
      </c>
      <c r="F162" s="380">
        <v>2013</v>
      </c>
      <c r="G162" s="210"/>
      <c r="H162" s="210"/>
      <c r="I162" s="210"/>
      <c r="J162" s="210"/>
      <c r="K162" s="210"/>
      <c r="L162" s="210"/>
      <c r="M162" s="210"/>
      <c r="N162" s="210"/>
    </row>
    <row r="163" spans="1:14" s="153" customFormat="1" ht="37.5" customHeight="1" x14ac:dyDescent="0.25">
      <c r="A163" s="436">
        <v>2</v>
      </c>
      <c r="B163" s="385"/>
      <c r="C163" s="387" t="s">
        <v>375</v>
      </c>
      <c r="D163" s="387" t="s">
        <v>376</v>
      </c>
      <c r="E163" s="390" t="s">
        <v>420</v>
      </c>
      <c r="F163" s="391"/>
      <c r="G163" s="210">
        <v>198</v>
      </c>
      <c r="H163" s="210"/>
      <c r="I163" s="210"/>
      <c r="J163" s="210"/>
      <c r="K163" s="210"/>
      <c r="L163" s="210"/>
      <c r="M163" s="229" t="s">
        <v>434</v>
      </c>
      <c r="N163" s="210">
        <v>18</v>
      </c>
    </row>
    <row r="164" spans="1:14" s="153" customFormat="1" ht="15.75" x14ac:dyDescent="0.25">
      <c r="A164" s="436"/>
      <c r="B164" s="385"/>
      <c r="C164" s="388"/>
      <c r="D164" s="388"/>
      <c r="E164" s="380">
        <v>2022</v>
      </c>
      <c r="F164" s="380">
        <v>2013</v>
      </c>
      <c r="G164" s="210"/>
      <c r="H164" s="210"/>
      <c r="I164" s="210"/>
      <c r="J164" s="210"/>
      <c r="K164" s="210"/>
      <c r="L164" s="210"/>
      <c r="M164" s="210"/>
      <c r="N164" s="210"/>
    </row>
    <row r="165" spans="1:14" s="153" customFormat="1" ht="39" x14ac:dyDescent="0.25">
      <c r="A165" s="436"/>
      <c r="B165" s="385"/>
      <c r="C165" s="388"/>
      <c r="D165" s="388"/>
      <c r="E165" s="380">
        <v>2023</v>
      </c>
      <c r="F165" s="380">
        <v>2013</v>
      </c>
      <c r="G165" s="327" t="s">
        <v>449</v>
      </c>
      <c r="H165" s="230"/>
      <c r="I165" s="230"/>
      <c r="J165" s="230"/>
      <c r="K165" s="230"/>
      <c r="L165" s="230"/>
      <c r="M165" s="229" t="s">
        <v>434</v>
      </c>
      <c r="N165" s="230">
        <v>18</v>
      </c>
    </row>
    <row r="166" spans="1:14" s="153" customFormat="1" ht="15.75" x14ac:dyDescent="0.25">
      <c r="A166" s="436"/>
      <c r="B166" s="385"/>
      <c r="C166" s="388"/>
      <c r="D166" s="388"/>
      <c r="E166" s="380">
        <v>2024</v>
      </c>
      <c r="F166" s="380">
        <v>2013</v>
      </c>
      <c r="G166" s="229"/>
      <c r="H166" s="230"/>
      <c r="I166" s="230"/>
      <c r="J166" s="230"/>
      <c r="K166" s="230"/>
      <c r="L166" s="230"/>
      <c r="M166" s="229"/>
      <c r="N166" s="230"/>
    </row>
    <row r="167" spans="1:14" s="153" customFormat="1" ht="30" customHeight="1" thickBot="1" x14ac:dyDescent="0.3">
      <c r="A167" s="436"/>
      <c r="B167" s="385"/>
      <c r="C167" s="389"/>
      <c r="D167" s="389"/>
      <c r="E167" s="380">
        <v>2025</v>
      </c>
      <c r="F167" s="380">
        <v>2013</v>
      </c>
      <c r="G167" s="210"/>
      <c r="H167" s="210"/>
      <c r="I167" s="210"/>
      <c r="J167" s="210"/>
      <c r="K167" s="210"/>
      <c r="L167" s="210"/>
      <c r="M167" s="210"/>
      <c r="N167" s="210"/>
    </row>
    <row r="168" spans="1:14" s="153" customFormat="1" ht="55.5" customHeight="1" x14ac:dyDescent="0.25">
      <c r="A168" s="436">
        <v>3</v>
      </c>
      <c r="B168" s="385"/>
      <c r="C168" s="387" t="s">
        <v>377</v>
      </c>
      <c r="D168" s="387" t="s">
        <v>447</v>
      </c>
      <c r="E168" s="390" t="s">
        <v>420</v>
      </c>
      <c r="F168" s="391"/>
      <c r="G168" s="202" t="s">
        <v>378</v>
      </c>
      <c r="H168" s="202" t="s">
        <v>378</v>
      </c>
      <c r="I168" s="202" t="s">
        <v>378</v>
      </c>
      <c r="J168" s="202" t="s">
        <v>378</v>
      </c>
      <c r="K168" s="202" t="s">
        <v>378</v>
      </c>
      <c r="L168" s="202" t="s">
        <v>378</v>
      </c>
      <c r="M168" s="202" t="s">
        <v>378</v>
      </c>
      <c r="N168" s="202" t="s">
        <v>378</v>
      </c>
    </row>
    <row r="169" spans="1:14" s="153" customFormat="1" ht="15.75" x14ac:dyDescent="0.25">
      <c r="A169" s="436"/>
      <c r="B169" s="385"/>
      <c r="C169" s="388"/>
      <c r="D169" s="388"/>
      <c r="E169" s="380">
        <v>2022</v>
      </c>
      <c r="F169" s="380">
        <v>2013</v>
      </c>
      <c r="G169" s="210"/>
      <c r="H169" s="210"/>
      <c r="I169" s="210"/>
      <c r="J169" s="210"/>
      <c r="K169" s="210"/>
      <c r="L169" s="210"/>
      <c r="M169" s="210"/>
      <c r="N169" s="210"/>
    </row>
    <row r="170" spans="1:14" s="153" customFormat="1" ht="15.75" x14ac:dyDescent="0.25">
      <c r="A170" s="436"/>
      <c r="B170" s="385"/>
      <c r="C170" s="388"/>
      <c r="D170" s="388"/>
      <c r="E170" s="380">
        <v>2023</v>
      </c>
      <c r="F170" s="380">
        <v>2013</v>
      </c>
      <c r="G170" s="210"/>
      <c r="H170" s="210"/>
      <c r="I170" s="210"/>
      <c r="J170" s="210"/>
      <c r="K170" s="210"/>
      <c r="L170" s="210"/>
      <c r="M170" s="210"/>
      <c r="N170" s="210"/>
    </row>
    <row r="171" spans="1:14" s="153" customFormat="1" ht="15.75" x14ac:dyDescent="0.25">
      <c r="A171" s="436"/>
      <c r="B171" s="385"/>
      <c r="C171" s="388"/>
      <c r="D171" s="388"/>
      <c r="E171" s="380">
        <v>2024</v>
      </c>
      <c r="F171" s="380">
        <v>2013</v>
      </c>
      <c r="G171" s="210"/>
      <c r="H171" s="210"/>
      <c r="I171" s="210"/>
      <c r="J171" s="210"/>
      <c r="K171" s="210"/>
      <c r="L171" s="210"/>
      <c r="M171" s="210"/>
      <c r="N171" s="210"/>
    </row>
    <row r="172" spans="1:14" s="153" customFormat="1" ht="33.75" customHeight="1" thickBot="1" x14ac:dyDescent="0.3">
      <c r="A172" s="436"/>
      <c r="B172" s="385"/>
      <c r="C172" s="389"/>
      <c r="D172" s="389"/>
      <c r="E172" s="380">
        <v>2025</v>
      </c>
      <c r="F172" s="380">
        <v>2013</v>
      </c>
      <c r="G172" s="210"/>
      <c r="H172" s="210"/>
      <c r="I172" s="210"/>
      <c r="J172" s="210"/>
      <c r="K172" s="210"/>
      <c r="L172" s="210"/>
      <c r="M172" s="210"/>
      <c r="N172" s="210"/>
    </row>
    <row r="173" spans="1:14" s="153" customFormat="1" ht="33.75" customHeight="1" x14ac:dyDescent="0.25">
      <c r="A173" s="381">
        <v>4</v>
      </c>
      <c r="B173" s="385"/>
      <c r="C173" s="387" t="s">
        <v>435</v>
      </c>
      <c r="D173" s="387" t="s">
        <v>436</v>
      </c>
      <c r="E173" s="390" t="s">
        <v>420</v>
      </c>
      <c r="F173" s="391"/>
      <c r="G173" s="202" t="s">
        <v>378</v>
      </c>
      <c r="H173" s="202" t="s">
        <v>378</v>
      </c>
      <c r="I173" s="202" t="s">
        <v>378</v>
      </c>
      <c r="J173" s="202" t="s">
        <v>378</v>
      </c>
      <c r="K173" s="202" t="s">
        <v>378</v>
      </c>
      <c r="L173" s="202" t="s">
        <v>378</v>
      </c>
      <c r="M173" s="202" t="s">
        <v>378</v>
      </c>
      <c r="N173" s="202" t="s">
        <v>378</v>
      </c>
    </row>
    <row r="174" spans="1:14" s="153" customFormat="1" ht="33.75" customHeight="1" x14ac:dyDescent="0.25">
      <c r="A174" s="382"/>
      <c r="B174" s="385"/>
      <c r="C174" s="388"/>
      <c r="D174" s="388"/>
      <c r="E174" s="380">
        <v>2022</v>
      </c>
      <c r="F174" s="380">
        <v>2013</v>
      </c>
      <c r="G174" s="210"/>
      <c r="H174" s="210"/>
      <c r="I174" s="210"/>
      <c r="J174" s="210"/>
      <c r="K174" s="210"/>
      <c r="L174" s="210"/>
      <c r="M174" s="210"/>
      <c r="N174" s="210"/>
    </row>
    <row r="175" spans="1:14" s="153" customFormat="1" ht="33.75" customHeight="1" x14ac:dyDescent="0.25">
      <c r="A175" s="382"/>
      <c r="B175" s="385"/>
      <c r="C175" s="388"/>
      <c r="D175" s="388"/>
      <c r="E175" s="380">
        <v>2023</v>
      </c>
      <c r="F175" s="380">
        <v>2013</v>
      </c>
      <c r="G175" s="210"/>
      <c r="H175" s="210"/>
      <c r="I175" s="210"/>
      <c r="J175" s="210"/>
      <c r="K175" s="210"/>
      <c r="L175" s="210"/>
      <c r="M175" s="210"/>
      <c r="N175" s="210"/>
    </row>
    <row r="176" spans="1:14" s="153" customFormat="1" ht="33.75" customHeight="1" x14ac:dyDescent="0.25">
      <c r="A176" s="382"/>
      <c r="B176" s="385"/>
      <c r="C176" s="388"/>
      <c r="D176" s="388"/>
      <c r="E176" s="380">
        <v>2024</v>
      </c>
      <c r="F176" s="380">
        <v>2013</v>
      </c>
      <c r="G176" s="210"/>
      <c r="H176" s="210"/>
      <c r="I176" s="210"/>
      <c r="J176" s="210"/>
      <c r="K176" s="210"/>
      <c r="L176" s="210"/>
      <c r="M176" s="210"/>
      <c r="N176" s="210"/>
    </row>
    <row r="177" spans="1:14" s="153" customFormat="1" ht="33.75" customHeight="1" x14ac:dyDescent="0.25">
      <c r="A177" s="383"/>
      <c r="B177" s="386"/>
      <c r="C177" s="389"/>
      <c r="D177" s="389"/>
      <c r="E177" s="380">
        <v>2025</v>
      </c>
      <c r="F177" s="380">
        <v>2013</v>
      </c>
      <c r="G177" s="210"/>
      <c r="H177" s="210"/>
      <c r="I177" s="210"/>
      <c r="J177" s="210"/>
      <c r="K177" s="210"/>
      <c r="L177" s="210"/>
      <c r="M177" s="210"/>
      <c r="N177" s="210"/>
    </row>
    <row r="178" spans="1:14" s="152" customFormat="1" ht="16.5" thickBot="1" x14ac:dyDescent="0.3">
      <c r="A178" s="437" t="s">
        <v>119</v>
      </c>
      <c r="B178" s="437"/>
      <c r="C178" s="437"/>
      <c r="D178" s="437"/>
      <c r="E178" s="437"/>
      <c r="F178" s="437"/>
      <c r="G178" s="231">
        <f>G163</f>
        <v>198</v>
      </c>
      <c r="H178" s="231">
        <f>H163</f>
        <v>0</v>
      </c>
      <c r="I178" s="232"/>
      <c r="J178" s="232"/>
      <c r="K178" s="232"/>
      <c r="L178" s="232"/>
      <c r="M178" s="232"/>
      <c r="N178" s="233">
        <f>N163</f>
        <v>18</v>
      </c>
    </row>
    <row r="179" spans="1:14" ht="48.75" customHeight="1" x14ac:dyDescent="0.2">
      <c r="A179" s="436">
        <v>1</v>
      </c>
      <c r="B179" s="384" t="s">
        <v>437</v>
      </c>
      <c r="C179" s="387" t="s">
        <v>438</v>
      </c>
      <c r="D179" s="387" t="s">
        <v>448</v>
      </c>
      <c r="E179" s="438" t="s">
        <v>439</v>
      </c>
      <c r="F179" s="439"/>
      <c r="G179" s="211">
        <f>G180</f>
        <v>3.2</v>
      </c>
      <c r="H179" s="211"/>
      <c r="I179" s="211"/>
      <c r="J179" s="211"/>
      <c r="K179" s="211"/>
      <c r="L179" s="211"/>
      <c r="M179" s="211"/>
      <c r="N179" s="211"/>
    </row>
    <row r="180" spans="1:14" x14ac:dyDescent="0.2">
      <c r="A180" s="436"/>
      <c r="B180" s="385"/>
      <c r="C180" s="388"/>
      <c r="D180" s="388"/>
      <c r="E180" s="380">
        <v>2022</v>
      </c>
      <c r="F180" s="380">
        <v>2013</v>
      </c>
      <c r="G180" s="211">
        <v>3.2</v>
      </c>
      <c r="H180" s="211"/>
      <c r="I180" s="211"/>
      <c r="J180" s="211"/>
      <c r="K180" s="211"/>
      <c r="L180" s="211"/>
      <c r="M180" s="211"/>
      <c r="N180" s="211"/>
    </row>
    <row r="181" spans="1:14" x14ac:dyDescent="0.2">
      <c r="A181" s="436"/>
      <c r="B181" s="385"/>
      <c r="C181" s="388"/>
      <c r="D181" s="388"/>
      <c r="E181" s="380">
        <v>2023</v>
      </c>
      <c r="F181" s="380">
        <v>2013</v>
      </c>
      <c r="G181" s="211">
        <v>0</v>
      </c>
      <c r="H181" s="211"/>
      <c r="I181" s="211"/>
      <c r="J181" s="211"/>
      <c r="K181" s="211"/>
      <c r="L181" s="211"/>
      <c r="M181" s="211"/>
      <c r="N181" s="211"/>
    </row>
    <row r="182" spans="1:14" x14ac:dyDescent="0.2">
      <c r="A182" s="436"/>
      <c r="B182" s="385"/>
      <c r="C182" s="388"/>
      <c r="D182" s="388"/>
      <c r="E182" s="380">
        <v>2024</v>
      </c>
      <c r="F182" s="380">
        <v>2013</v>
      </c>
      <c r="G182" s="211">
        <v>0</v>
      </c>
      <c r="H182" s="211"/>
      <c r="I182" s="211"/>
      <c r="J182" s="211"/>
      <c r="K182" s="211"/>
      <c r="L182" s="211"/>
      <c r="M182" s="211"/>
      <c r="N182" s="211"/>
    </row>
    <row r="183" spans="1:14" ht="13.5" thickBot="1" x14ac:dyDescent="0.25">
      <c r="A183" s="436"/>
      <c r="B183" s="385"/>
      <c r="C183" s="389"/>
      <c r="D183" s="388"/>
      <c r="E183" s="380">
        <v>2025</v>
      </c>
      <c r="F183" s="380">
        <v>2013</v>
      </c>
      <c r="G183" s="211">
        <v>0</v>
      </c>
      <c r="H183" s="211"/>
      <c r="I183" s="211"/>
      <c r="J183" s="211"/>
      <c r="K183" s="211"/>
      <c r="L183" s="211"/>
      <c r="M183" s="211"/>
      <c r="N183" s="211"/>
    </row>
    <row r="184" spans="1:14" ht="30.75" customHeight="1" x14ac:dyDescent="0.2">
      <c r="A184" s="436">
        <v>2</v>
      </c>
      <c r="B184" s="385"/>
      <c r="C184" s="387" t="s">
        <v>440</v>
      </c>
      <c r="D184" s="388"/>
      <c r="E184" s="438" t="s">
        <v>439</v>
      </c>
      <c r="F184" s="439"/>
      <c r="G184" s="211">
        <f>G185+G186+G187+G188</f>
        <v>118</v>
      </c>
      <c r="H184" s="211"/>
      <c r="I184" s="211"/>
      <c r="J184" s="211"/>
      <c r="K184" s="211"/>
      <c r="L184" s="211"/>
      <c r="M184" s="211"/>
      <c r="N184" s="211">
        <f>N187</f>
        <v>10</v>
      </c>
    </row>
    <row r="185" spans="1:14" x14ac:dyDescent="0.2">
      <c r="A185" s="436"/>
      <c r="B185" s="385"/>
      <c r="C185" s="388"/>
      <c r="D185" s="388"/>
      <c r="E185" s="380">
        <v>2022</v>
      </c>
      <c r="F185" s="380">
        <v>2013</v>
      </c>
      <c r="G185" s="211">
        <v>0</v>
      </c>
      <c r="H185" s="211"/>
      <c r="I185" s="211"/>
      <c r="J185" s="211"/>
      <c r="K185" s="211"/>
      <c r="L185" s="211"/>
      <c r="M185" s="211"/>
      <c r="N185" s="211"/>
    </row>
    <row r="186" spans="1:14" x14ac:dyDescent="0.2">
      <c r="A186" s="436"/>
      <c r="B186" s="385"/>
      <c r="C186" s="388"/>
      <c r="D186" s="388"/>
      <c r="E186" s="380">
        <v>2023</v>
      </c>
      <c r="F186" s="380">
        <v>2013</v>
      </c>
      <c r="G186" s="211">
        <v>118</v>
      </c>
      <c r="H186" s="211"/>
      <c r="I186" s="211"/>
      <c r="J186" s="211"/>
      <c r="K186" s="211"/>
      <c r="L186" s="211"/>
      <c r="M186" s="211"/>
      <c r="N186" s="211"/>
    </row>
    <row r="187" spans="1:14" x14ac:dyDescent="0.2">
      <c r="A187" s="436"/>
      <c r="B187" s="385"/>
      <c r="C187" s="388"/>
      <c r="D187" s="388"/>
      <c r="E187" s="380">
        <v>2024</v>
      </c>
      <c r="F187" s="380">
        <v>2013</v>
      </c>
      <c r="G187" s="211"/>
      <c r="H187" s="211"/>
      <c r="I187" s="211"/>
      <c r="J187" s="211"/>
      <c r="K187" s="211"/>
      <c r="L187" s="211"/>
      <c r="M187" s="211"/>
      <c r="N187" s="211">
        <v>10</v>
      </c>
    </row>
    <row r="188" spans="1:14" ht="13.5" thickBot="1" x14ac:dyDescent="0.25">
      <c r="A188" s="436"/>
      <c r="B188" s="385"/>
      <c r="C188" s="389"/>
      <c r="D188" s="388"/>
      <c r="E188" s="380">
        <v>2025</v>
      </c>
      <c r="F188" s="380">
        <v>2013</v>
      </c>
      <c r="G188" s="211"/>
      <c r="H188" s="211"/>
      <c r="I188" s="211"/>
      <c r="J188" s="211"/>
      <c r="K188" s="211"/>
      <c r="L188" s="211"/>
      <c r="M188" s="211"/>
      <c r="N188" s="211"/>
    </row>
    <row r="189" spans="1:14" ht="56.25" customHeight="1" x14ac:dyDescent="0.2">
      <c r="A189" s="436">
        <v>3</v>
      </c>
      <c r="B189" s="385"/>
      <c r="C189" s="387" t="s">
        <v>441</v>
      </c>
      <c r="D189" s="388"/>
      <c r="E189" s="438" t="s">
        <v>439</v>
      </c>
      <c r="F189" s="439"/>
      <c r="G189" s="211">
        <f>G190+G191+G192+G193</f>
        <v>28.2</v>
      </c>
      <c r="H189" s="211"/>
      <c r="I189" s="211"/>
      <c r="J189" s="211"/>
      <c r="K189" s="211"/>
      <c r="L189" s="211"/>
      <c r="M189" s="211"/>
      <c r="N189" s="211"/>
    </row>
    <row r="190" spans="1:14" x14ac:dyDescent="0.2">
      <c r="A190" s="436"/>
      <c r="B190" s="385"/>
      <c r="C190" s="388"/>
      <c r="D190" s="388"/>
      <c r="E190" s="380">
        <v>2022</v>
      </c>
      <c r="F190" s="380">
        <v>2013</v>
      </c>
      <c r="G190" s="211">
        <v>28.2</v>
      </c>
      <c r="H190" s="211"/>
      <c r="I190" s="211"/>
      <c r="J190" s="211"/>
      <c r="K190" s="211"/>
      <c r="L190" s="211"/>
      <c r="M190" s="211"/>
      <c r="N190" s="211"/>
    </row>
    <row r="191" spans="1:14" x14ac:dyDescent="0.2">
      <c r="A191" s="436"/>
      <c r="B191" s="385"/>
      <c r="C191" s="388"/>
      <c r="D191" s="388"/>
      <c r="E191" s="380">
        <v>2023</v>
      </c>
      <c r="F191" s="380">
        <v>2013</v>
      </c>
      <c r="G191" s="211">
        <v>0</v>
      </c>
      <c r="H191" s="211"/>
      <c r="I191" s="211"/>
      <c r="J191" s="211"/>
      <c r="K191" s="211"/>
      <c r="L191" s="211"/>
      <c r="M191" s="211"/>
      <c r="N191" s="211"/>
    </row>
    <row r="192" spans="1:14" x14ac:dyDescent="0.2">
      <c r="A192" s="436"/>
      <c r="B192" s="385"/>
      <c r="C192" s="388"/>
      <c r="D192" s="388"/>
      <c r="E192" s="380">
        <v>2024</v>
      </c>
      <c r="F192" s="380">
        <v>2013</v>
      </c>
      <c r="G192" s="211">
        <v>0</v>
      </c>
      <c r="H192" s="211"/>
      <c r="I192" s="211"/>
      <c r="J192" s="211"/>
      <c r="K192" s="211"/>
      <c r="L192" s="211"/>
      <c r="M192" s="211"/>
      <c r="N192" s="211"/>
    </row>
    <row r="193" spans="1:14" x14ac:dyDescent="0.2">
      <c r="A193" s="436"/>
      <c r="B193" s="385"/>
      <c r="C193" s="389"/>
      <c r="D193" s="389"/>
      <c r="E193" s="380">
        <v>2025</v>
      </c>
      <c r="F193" s="380">
        <v>2013</v>
      </c>
      <c r="G193" s="211">
        <v>0</v>
      </c>
      <c r="H193" s="211"/>
      <c r="I193" s="211"/>
      <c r="J193" s="211"/>
      <c r="K193" s="211"/>
      <c r="L193" s="211"/>
      <c r="M193" s="211"/>
      <c r="N193" s="211"/>
    </row>
    <row r="194" spans="1:14" ht="15.75" x14ac:dyDescent="0.25">
      <c r="A194" s="437" t="s">
        <v>119</v>
      </c>
      <c r="B194" s="437"/>
      <c r="C194" s="437"/>
      <c r="D194" s="437"/>
      <c r="E194" s="437"/>
      <c r="F194" s="437"/>
      <c r="G194" s="231">
        <f>G179+G184+G189</f>
        <v>149.4</v>
      </c>
      <c r="H194" s="231">
        <f t="shared" ref="H194:N194" si="0">H179+H184+H189</f>
        <v>0</v>
      </c>
      <c r="I194" s="231">
        <f t="shared" si="0"/>
        <v>0</v>
      </c>
      <c r="J194" s="231">
        <f t="shared" si="0"/>
        <v>0</v>
      </c>
      <c r="K194" s="231">
        <f t="shared" si="0"/>
        <v>0</v>
      </c>
      <c r="L194" s="231">
        <f t="shared" si="0"/>
        <v>0</v>
      </c>
      <c r="M194" s="231">
        <f t="shared" si="0"/>
        <v>0</v>
      </c>
      <c r="N194" s="231">
        <f t="shared" si="0"/>
        <v>10</v>
      </c>
    </row>
    <row r="195" spans="1:14" ht="15.75" x14ac:dyDescent="0.25">
      <c r="A195" s="437" t="s">
        <v>442</v>
      </c>
      <c r="B195" s="437"/>
      <c r="C195" s="437"/>
      <c r="D195" s="437"/>
      <c r="E195" s="437"/>
      <c r="F195" s="437"/>
      <c r="G195" s="235">
        <f>G157+G178+G194</f>
        <v>18069.303819999997</v>
      </c>
      <c r="H195" s="235">
        <f t="shared" ref="H195:N195" si="1">H157+H178+H194</f>
        <v>1298.22</v>
      </c>
      <c r="I195" s="235">
        <f t="shared" si="1"/>
        <v>0</v>
      </c>
      <c r="J195" s="235">
        <f t="shared" si="1"/>
        <v>0</v>
      </c>
      <c r="K195" s="235">
        <f t="shared" si="1"/>
        <v>0</v>
      </c>
      <c r="L195" s="235">
        <f t="shared" si="1"/>
        <v>0</v>
      </c>
      <c r="M195" s="235">
        <f t="shared" si="1"/>
        <v>0</v>
      </c>
      <c r="N195" s="235">
        <f t="shared" si="1"/>
        <v>1623</v>
      </c>
    </row>
  </sheetData>
  <mergeCells count="326">
    <mergeCell ref="A194:F194"/>
    <mergeCell ref="D179:D193"/>
    <mergeCell ref="A195:F195"/>
    <mergeCell ref="E189:F189"/>
    <mergeCell ref="E190:F190"/>
    <mergeCell ref="E191:F191"/>
    <mergeCell ref="E192:F192"/>
    <mergeCell ref="E193:F193"/>
    <mergeCell ref="A157:F157"/>
    <mergeCell ref="A158:A162"/>
    <mergeCell ref="A178:F178"/>
    <mergeCell ref="A168:A172"/>
    <mergeCell ref="A163:A167"/>
    <mergeCell ref="A179:A183"/>
    <mergeCell ref="B179:B193"/>
    <mergeCell ref="C179:C183"/>
    <mergeCell ref="E179:F179"/>
    <mergeCell ref="E180:F180"/>
    <mergeCell ref="E181:F181"/>
    <mergeCell ref="E182:F182"/>
    <mergeCell ref="E183:F183"/>
    <mergeCell ref="A184:A188"/>
    <mergeCell ref="C184:C188"/>
    <mergeCell ref="E184:F184"/>
    <mergeCell ref="E185:F185"/>
    <mergeCell ref="E186:F186"/>
    <mergeCell ref="E187:F187"/>
    <mergeCell ref="E188:F188"/>
    <mergeCell ref="A189:A193"/>
    <mergeCell ref="C189:C193"/>
    <mergeCell ref="A152:A156"/>
    <mergeCell ref="C152:C156"/>
    <mergeCell ref="D152:D156"/>
    <mergeCell ref="E152:F152"/>
    <mergeCell ref="E169:F169"/>
    <mergeCell ref="E170:F170"/>
    <mergeCell ref="E171:F171"/>
    <mergeCell ref="E172:F172"/>
    <mergeCell ref="E162:F162"/>
    <mergeCell ref="C163:C167"/>
    <mergeCell ref="E174:F174"/>
    <mergeCell ref="E175:F175"/>
    <mergeCell ref="E176:F176"/>
    <mergeCell ref="E168:F168"/>
    <mergeCell ref="I152:I156"/>
    <mergeCell ref="E153:F153"/>
    <mergeCell ref="E154:F154"/>
    <mergeCell ref="E155:F155"/>
    <mergeCell ref="E156:F156"/>
    <mergeCell ref="A147:A151"/>
    <mergeCell ref="C147:C151"/>
    <mergeCell ref="D147:D151"/>
    <mergeCell ref="E147:F147"/>
    <mergeCell ref="E148:F148"/>
    <mergeCell ref="E149:F149"/>
    <mergeCell ref="E150:F150"/>
    <mergeCell ref="E151:F151"/>
    <mergeCell ref="A142:A146"/>
    <mergeCell ref="C142:C146"/>
    <mergeCell ref="D142:D146"/>
    <mergeCell ref="E142:F142"/>
    <mergeCell ref="E143:F143"/>
    <mergeCell ref="E144:F144"/>
    <mergeCell ref="E145:F145"/>
    <mergeCell ref="E146:F146"/>
    <mergeCell ref="A137:A141"/>
    <mergeCell ref="C137:C141"/>
    <mergeCell ref="D137:D141"/>
    <mergeCell ref="E137:F137"/>
    <mergeCell ref="I137:I141"/>
    <mergeCell ref="E138:F138"/>
    <mergeCell ref="E139:F139"/>
    <mergeCell ref="E140:F140"/>
    <mergeCell ref="E141:F141"/>
    <mergeCell ref="A132:A136"/>
    <mergeCell ref="C132:C136"/>
    <mergeCell ref="D132:D136"/>
    <mergeCell ref="E132:F132"/>
    <mergeCell ref="E133:F133"/>
    <mergeCell ref="E134:F134"/>
    <mergeCell ref="E135:F135"/>
    <mergeCell ref="E136:F136"/>
    <mergeCell ref="A127:A131"/>
    <mergeCell ref="C127:C131"/>
    <mergeCell ref="D127:D131"/>
    <mergeCell ref="E127:F127"/>
    <mergeCell ref="E128:F128"/>
    <mergeCell ref="E129:F129"/>
    <mergeCell ref="E130:F130"/>
    <mergeCell ref="E131:F131"/>
    <mergeCell ref="A122:A126"/>
    <mergeCell ref="C122:C126"/>
    <mergeCell ref="D122:D126"/>
    <mergeCell ref="E122:F122"/>
    <mergeCell ref="E123:F123"/>
    <mergeCell ref="E124:F124"/>
    <mergeCell ref="E125:F125"/>
    <mergeCell ref="E126:F126"/>
    <mergeCell ref="A117:A121"/>
    <mergeCell ref="C117:C121"/>
    <mergeCell ref="D117:D121"/>
    <mergeCell ref="E117:F117"/>
    <mergeCell ref="E118:F118"/>
    <mergeCell ref="E119:F119"/>
    <mergeCell ref="E120:F120"/>
    <mergeCell ref="E121:F121"/>
    <mergeCell ref="E109:F109"/>
    <mergeCell ref="E110:F110"/>
    <mergeCell ref="E111:F111"/>
    <mergeCell ref="A112:A116"/>
    <mergeCell ref="C112:C116"/>
    <mergeCell ref="D112:D116"/>
    <mergeCell ref="E112:F112"/>
    <mergeCell ref="E113:F113"/>
    <mergeCell ref="E114:F114"/>
    <mergeCell ref="E115:F115"/>
    <mergeCell ref="E116:F116"/>
    <mergeCell ref="A107:A111"/>
    <mergeCell ref="C107:C111"/>
    <mergeCell ref="D107:D111"/>
    <mergeCell ref="E107:F107"/>
    <mergeCell ref="E108:F108"/>
    <mergeCell ref="A102:A106"/>
    <mergeCell ref="C102:C106"/>
    <mergeCell ref="D102:D106"/>
    <mergeCell ref="E102:F102"/>
    <mergeCell ref="E103:F103"/>
    <mergeCell ref="E104:F104"/>
    <mergeCell ref="E105:F105"/>
    <mergeCell ref="E106:F106"/>
    <mergeCell ref="A97:A101"/>
    <mergeCell ref="C97:C101"/>
    <mergeCell ref="D97:D101"/>
    <mergeCell ref="E97:F97"/>
    <mergeCell ref="E98:F98"/>
    <mergeCell ref="E99:F99"/>
    <mergeCell ref="E100:F100"/>
    <mergeCell ref="E101:F101"/>
    <mergeCell ref="J88:K88"/>
    <mergeCell ref="E89:F89"/>
    <mergeCell ref="E90:F90"/>
    <mergeCell ref="E91:F91"/>
    <mergeCell ref="A92:A96"/>
    <mergeCell ref="C92:C96"/>
    <mergeCell ref="D92:D96"/>
    <mergeCell ref="E92:F92"/>
    <mergeCell ref="E93:F93"/>
    <mergeCell ref="E94:F94"/>
    <mergeCell ref="E95:F95"/>
    <mergeCell ref="E96:F96"/>
    <mergeCell ref="A87:A91"/>
    <mergeCell ref="C87:C91"/>
    <mergeCell ref="D87:D91"/>
    <mergeCell ref="E87:F87"/>
    <mergeCell ref="E88:F88"/>
    <mergeCell ref="A82:A86"/>
    <mergeCell ref="C82:C86"/>
    <mergeCell ref="D82:D86"/>
    <mergeCell ref="E82:F82"/>
    <mergeCell ref="E83:F83"/>
    <mergeCell ref="E84:F84"/>
    <mergeCell ref="E85:F85"/>
    <mergeCell ref="E86:F86"/>
    <mergeCell ref="A77:A81"/>
    <mergeCell ref="C77:C81"/>
    <mergeCell ref="D77:D81"/>
    <mergeCell ref="E77:F77"/>
    <mergeCell ref="E78:F78"/>
    <mergeCell ref="E79:F79"/>
    <mergeCell ref="E80:F80"/>
    <mergeCell ref="E81:F81"/>
    <mergeCell ref="I73:I75"/>
    <mergeCell ref="J73:J75"/>
    <mergeCell ref="K73:K75"/>
    <mergeCell ref="E74:F74"/>
    <mergeCell ref="E75:F75"/>
    <mergeCell ref="A72:A76"/>
    <mergeCell ref="C72:C76"/>
    <mergeCell ref="D72:D76"/>
    <mergeCell ref="E72:F72"/>
    <mergeCell ref="E73:F73"/>
    <mergeCell ref="E76:F76"/>
    <mergeCell ref="A67:A71"/>
    <mergeCell ref="C67:C71"/>
    <mergeCell ref="D67:D71"/>
    <mergeCell ref="E67:F67"/>
    <mergeCell ref="E68:F68"/>
    <mergeCell ref="E69:F69"/>
    <mergeCell ref="E70:F70"/>
    <mergeCell ref="E71:F71"/>
    <mergeCell ref="A62:A66"/>
    <mergeCell ref="C62:C66"/>
    <mergeCell ref="D62:D66"/>
    <mergeCell ref="E62:F62"/>
    <mergeCell ref="E63:F63"/>
    <mergeCell ref="E64:F64"/>
    <mergeCell ref="E65:F65"/>
    <mergeCell ref="E66:F66"/>
    <mergeCell ref="A57:A61"/>
    <mergeCell ref="C57:C61"/>
    <mergeCell ref="D57:D61"/>
    <mergeCell ref="E57:F57"/>
    <mergeCell ref="E58:F58"/>
    <mergeCell ref="E59:F59"/>
    <mergeCell ref="E60:F60"/>
    <mergeCell ref="E61:F61"/>
    <mergeCell ref="A52:A56"/>
    <mergeCell ref="C52:C56"/>
    <mergeCell ref="D52:D56"/>
    <mergeCell ref="E52:F52"/>
    <mergeCell ref="I52:I56"/>
    <mergeCell ref="E53:F53"/>
    <mergeCell ref="E54:F54"/>
    <mergeCell ref="E55:F55"/>
    <mergeCell ref="E56:F56"/>
    <mergeCell ref="A47:A51"/>
    <mergeCell ref="C47:C51"/>
    <mergeCell ref="D47:D51"/>
    <mergeCell ref="E47:F47"/>
    <mergeCell ref="I47:I51"/>
    <mergeCell ref="E48:F48"/>
    <mergeCell ref="E49:F49"/>
    <mergeCell ref="E50:F50"/>
    <mergeCell ref="E51:F51"/>
    <mergeCell ref="A42:A46"/>
    <mergeCell ref="C42:C46"/>
    <mergeCell ref="D42:D46"/>
    <mergeCell ref="E42:F42"/>
    <mergeCell ref="I42:I46"/>
    <mergeCell ref="E43:F43"/>
    <mergeCell ref="E44:F44"/>
    <mergeCell ref="E45:F45"/>
    <mergeCell ref="E46:F46"/>
    <mergeCell ref="E36:F36"/>
    <mergeCell ref="A37:A41"/>
    <mergeCell ref="C37:C41"/>
    <mergeCell ref="D37:D41"/>
    <mergeCell ref="E37:F37"/>
    <mergeCell ref="E38:F38"/>
    <mergeCell ref="E39:F39"/>
    <mergeCell ref="E40:F40"/>
    <mergeCell ref="E41:F41"/>
    <mergeCell ref="B7:B156"/>
    <mergeCell ref="A17:A21"/>
    <mergeCell ref="C17:C21"/>
    <mergeCell ref="D17:D21"/>
    <mergeCell ref="A22:A26"/>
    <mergeCell ref="C22:C26"/>
    <mergeCell ref="D22:D26"/>
    <mergeCell ref="A27:A31"/>
    <mergeCell ref="C27:C31"/>
    <mergeCell ref="D27:D31"/>
    <mergeCell ref="A32:A36"/>
    <mergeCell ref="C32:C36"/>
    <mergeCell ref="D32:D36"/>
    <mergeCell ref="A7:A11"/>
    <mergeCell ref="E11:F11"/>
    <mergeCell ref="E34:F34"/>
    <mergeCell ref="I34:I35"/>
    <mergeCell ref="E35:F35"/>
    <mergeCell ref="I27:I31"/>
    <mergeCell ref="E28:F28"/>
    <mergeCell ref="E29:F29"/>
    <mergeCell ref="E30:F30"/>
    <mergeCell ref="E31:F31"/>
    <mergeCell ref="E27:F27"/>
    <mergeCell ref="I22:I26"/>
    <mergeCell ref="E23:F23"/>
    <mergeCell ref="E24:F24"/>
    <mergeCell ref="E25:F25"/>
    <mergeCell ref="E26:F26"/>
    <mergeCell ref="I17:I21"/>
    <mergeCell ref="E18:F18"/>
    <mergeCell ref="E19:F19"/>
    <mergeCell ref="E20:F20"/>
    <mergeCell ref="E21:F21"/>
    <mergeCell ref="E17:F17"/>
    <mergeCell ref="E22:F22"/>
    <mergeCell ref="I1:N1"/>
    <mergeCell ref="E16:F16"/>
    <mergeCell ref="E12:F12"/>
    <mergeCell ref="E13:F13"/>
    <mergeCell ref="E7:F7"/>
    <mergeCell ref="E8:F8"/>
    <mergeCell ref="E9:F9"/>
    <mergeCell ref="C12:C16"/>
    <mergeCell ref="D12:D16"/>
    <mergeCell ref="C7:C11"/>
    <mergeCell ref="D7:D11"/>
    <mergeCell ref="A3:N3"/>
    <mergeCell ref="M5:M6"/>
    <mergeCell ref="A5:A6"/>
    <mergeCell ref="D5:D6"/>
    <mergeCell ref="H5:H6"/>
    <mergeCell ref="N5:N6"/>
    <mergeCell ref="G5:G6"/>
    <mergeCell ref="I5:L5"/>
    <mergeCell ref="B5:B6"/>
    <mergeCell ref="C5:C6"/>
    <mergeCell ref="E5:F6"/>
    <mergeCell ref="A12:A16"/>
    <mergeCell ref="E10:F10"/>
    <mergeCell ref="E14:F14"/>
    <mergeCell ref="E15:F15"/>
    <mergeCell ref="A173:A177"/>
    <mergeCell ref="B158:B177"/>
    <mergeCell ref="C168:C172"/>
    <mergeCell ref="D168:D172"/>
    <mergeCell ref="C158:C162"/>
    <mergeCell ref="D158:D162"/>
    <mergeCell ref="E158:F158"/>
    <mergeCell ref="E159:F159"/>
    <mergeCell ref="E160:F160"/>
    <mergeCell ref="E161:F161"/>
    <mergeCell ref="D163:D167"/>
    <mergeCell ref="E163:F163"/>
    <mergeCell ref="E164:F164"/>
    <mergeCell ref="E165:F165"/>
    <mergeCell ref="E166:F166"/>
    <mergeCell ref="E167:F167"/>
    <mergeCell ref="E177:F177"/>
    <mergeCell ref="C173:C177"/>
    <mergeCell ref="D173:D177"/>
    <mergeCell ref="E173:F173"/>
    <mergeCell ref="E32:F32"/>
    <mergeCell ref="E33:F33"/>
  </mergeCells>
  <phoneticPr fontId="14" type="noConversion"/>
  <printOptions horizontalCentered="1"/>
  <pageMargins left="0.23622047244094491" right="0.19685039370078741" top="0.19685039370078741" bottom="0.19685039370078741" header="0.51181102362204722" footer="0.51181102362204722"/>
  <pageSetup paperSize="9" scale="4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Прогноз 2022-2024 </vt:lpstr>
      <vt:lpstr>Прил 1 (расчет ИФО) (2)</vt:lpstr>
      <vt:lpstr>Прил 2 Прогноз по поселениям</vt:lpstr>
      <vt:lpstr>Прил 3 Инвестпроекты</vt:lpstr>
      <vt:lpstr>'Прил 2 Прогноз по поселениям'!Заголовки_для_печати</vt:lpstr>
      <vt:lpstr>'Прогноз 2022-2024 '!Заголовки_для_печати</vt:lpstr>
      <vt:lpstr>'Прил 2 Прогноз по поселениям'!Область_печати</vt:lpstr>
      <vt:lpstr>'Прогноз 2022-2024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Орлова Юлия Анатольевна</cp:lastModifiedBy>
  <cp:lastPrinted>2022-11-30T06:21:57Z</cp:lastPrinted>
  <dcterms:created xsi:type="dcterms:W3CDTF">2006-03-06T08:26:24Z</dcterms:created>
  <dcterms:modified xsi:type="dcterms:W3CDTF">2022-12-07T01:45:05Z</dcterms:modified>
</cp:coreProperties>
</file>