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ЭтаКнига" defaultThemeVersion="124226"/>
  <bookViews>
    <workbookView xWindow="0" yWindow="105" windowWidth="15195" windowHeight="7935" tabRatio="778" activeTab="4"/>
  </bookViews>
  <sheets>
    <sheet name="Прогноз 2015 " sheetId="1" r:id="rId1"/>
    <sheet name="Прил 3 (расчет ИФО) (2)" sheetId="9" r:id="rId2"/>
    <sheet name="Прил 4 (показатели предприятий)" sheetId="13" state="hidden" r:id="rId3"/>
    <sheet name="Прил 5 Прогноз по поселениям" sheetId="8" r:id="rId4"/>
    <sheet name="Прил 6 Инвестпроекты" sheetId="12" r:id="rId5"/>
  </sheets>
  <definedNames>
    <definedName name="_xlnm.Print_Titles" localSheetId="1">'Прил 3 (расчет ИФО) (2)'!$5:$7</definedName>
    <definedName name="_xlnm.Print_Titles" localSheetId="3">'Прил 5 Прогноз по поселениям'!$A:$A,'Прил 5 Прогноз по поселениям'!$4:$7</definedName>
    <definedName name="_xlnm.Print_Titles" localSheetId="0">'Прогноз 2015 '!$6:$8</definedName>
    <definedName name="_xlnm.Print_Area" localSheetId="1">'Прил 3 (расчет ИФО) (2)'!$A$1:$T$42</definedName>
    <definedName name="_xlnm.Print_Area" localSheetId="2">'Прил 4 (показатели предприятий)'!$A$1:$J$67</definedName>
    <definedName name="_xlnm.Print_Area" localSheetId="4">'Прил 6 Инвестпроекты'!$A$1:$N$148</definedName>
    <definedName name="_xlnm.Print_Area" localSheetId="0">'Прогноз 2015 '!$A$1:$I$144</definedName>
  </definedNames>
  <calcPr calcId="145621"/>
</workbook>
</file>

<file path=xl/calcChain.xml><?xml version="1.0" encoding="utf-8"?>
<calcChain xmlns="http://schemas.openxmlformats.org/spreadsheetml/2006/main">
  <c r="E22" i="1" l="1"/>
  <c r="N72" i="12" l="1"/>
  <c r="M72" i="12"/>
  <c r="H72" i="12"/>
  <c r="G72" i="12"/>
  <c r="N67" i="12"/>
  <c r="M67" i="12"/>
  <c r="H67" i="12"/>
  <c r="G67" i="12"/>
  <c r="N122" i="12" l="1"/>
  <c r="M122" i="12"/>
  <c r="M127" i="12"/>
  <c r="N127" i="12"/>
  <c r="H122" i="12"/>
  <c r="G122" i="12"/>
  <c r="N87" i="12"/>
  <c r="M87" i="12"/>
  <c r="N82" i="12"/>
  <c r="M82" i="12"/>
  <c r="H87" i="12"/>
  <c r="G87" i="12"/>
  <c r="H82" i="12"/>
  <c r="G82" i="12"/>
  <c r="G32" i="12"/>
  <c r="H32" i="12"/>
  <c r="N32" i="12"/>
  <c r="M33" i="12"/>
  <c r="M34" i="12"/>
  <c r="M35" i="12"/>
  <c r="M36" i="12"/>
  <c r="G42" i="12"/>
  <c r="H42" i="12"/>
  <c r="G47" i="12"/>
  <c r="G52" i="12"/>
  <c r="M32" i="12" l="1"/>
  <c r="G102" i="12" l="1"/>
  <c r="AQ17" i="8" l="1"/>
  <c r="AO17" i="8" l="1"/>
  <c r="AN17" i="8"/>
  <c r="AM17" i="8"/>
  <c r="I108" i="1" l="1"/>
  <c r="H108" i="1"/>
  <c r="F108" i="1"/>
  <c r="E108" i="1"/>
  <c r="G108" i="1" s="1"/>
  <c r="I107" i="1"/>
  <c r="H107" i="1"/>
  <c r="F107" i="1"/>
  <c r="E107" i="1"/>
  <c r="G107" i="1" s="1"/>
  <c r="I106" i="1"/>
  <c r="H106" i="1"/>
  <c r="F106" i="1"/>
  <c r="E106" i="1"/>
  <c r="G106" i="1" s="1"/>
  <c r="I105" i="1"/>
  <c r="H105" i="1"/>
  <c r="G105" i="1"/>
  <c r="F105" i="1"/>
  <c r="I104" i="1"/>
  <c r="H104" i="1"/>
  <c r="G104" i="1"/>
  <c r="F104" i="1"/>
  <c r="I103" i="1"/>
  <c r="H103" i="1"/>
  <c r="F103" i="1"/>
  <c r="E103" i="1"/>
  <c r="G103" i="1" s="1"/>
  <c r="I101" i="1"/>
  <c r="H101" i="1"/>
  <c r="G101" i="1"/>
  <c r="F101" i="1"/>
  <c r="E101" i="1"/>
  <c r="E110" i="1"/>
  <c r="G110" i="1" s="1"/>
  <c r="E109" i="1"/>
  <c r="G109" i="1" s="1"/>
  <c r="E111" i="1"/>
  <c r="G111" i="1" s="1"/>
  <c r="I113" i="1"/>
  <c r="H113" i="1"/>
  <c r="G113" i="1"/>
  <c r="F113" i="1"/>
  <c r="E113" i="1"/>
  <c r="F109" i="1" l="1"/>
  <c r="H109" i="1" s="1"/>
  <c r="I109" i="1" s="1"/>
  <c r="F110" i="1"/>
  <c r="H110" i="1" s="1"/>
  <c r="I110" i="1" s="1"/>
  <c r="F111" i="1"/>
  <c r="H111" i="1" s="1"/>
  <c r="I111" i="1" s="1"/>
  <c r="E105" i="1"/>
  <c r="H71" i="1"/>
  <c r="E104" i="1"/>
  <c r="O27" i="9"/>
  <c r="N27" i="9"/>
  <c r="M27" i="9"/>
  <c r="L27" i="9"/>
  <c r="K27" i="9"/>
  <c r="T18" i="9"/>
  <c r="S18" i="9"/>
  <c r="R18" i="9"/>
  <c r="Q18" i="9"/>
  <c r="O18" i="9"/>
  <c r="N18" i="9"/>
  <c r="M18" i="9"/>
  <c r="L18" i="9"/>
  <c r="O20" i="9" l="1"/>
  <c r="N20" i="9"/>
  <c r="M20" i="9"/>
  <c r="L20" i="9"/>
  <c r="O38" i="9" l="1"/>
  <c r="T26" i="9"/>
  <c r="S26" i="9"/>
  <c r="R26" i="9"/>
  <c r="Q26" i="9"/>
  <c r="Q23" i="9"/>
  <c r="O25" i="9"/>
  <c r="N25" i="9"/>
  <c r="M25" i="9"/>
  <c r="L25" i="9"/>
  <c r="O26" i="9"/>
  <c r="N26" i="9"/>
  <c r="M26" i="9"/>
  <c r="L26" i="9"/>
  <c r="T27" i="9" l="1"/>
  <c r="N38" i="9"/>
  <c r="T38" i="9" s="1"/>
  <c r="M38" i="9"/>
  <c r="S38" i="9" s="1"/>
  <c r="S27" i="9"/>
  <c r="L38" i="9"/>
  <c r="Q27" i="9"/>
  <c r="R27" i="9"/>
  <c r="R38" i="9" l="1"/>
  <c r="L127" i="12" l="1"/>
  <c r="K127" i="12"/>
  <c r="J127" i="12"/>
  <c r="I127" i="12"/>
  <c r="H127" i="12"/>
  <c r="G127" i="12"/>
  <c r="L122" i="12"/>
  <c r="K122" i="12"/>
  <c r="J122" i="12"/>
  <c r="N117" i="12"/>
  <c r="M117" i="12"/>
  <c r="L117" i="12"/>
  <c r="K117" i="12"/>
  <c r="J117" i="12"/>
  <c r="I117" i="12"/>
  <c r="H117" i="12"/>
  <c r="G117" i="12"/>
  <c r="N112" i="12"/>
  <c r="M112" i="12"/>
  <c r="L112" i="12"/>
  <c r="K112" i="12"/>
  <c r="J112" i="12"/>
  <c r="I112" i="12"/>
  <c r="H112" i="12"/>
  <c r="G112" i="12"/>
  <c r="N107" i="12"/>
  <c r="M107" i="12"/>
  <c r="L107" i="12"/>
  <c r="K107" i="12"/>
  <c r="J107" i="12"/>
  <c r="I107" i="12"/>
  <c r="H107" i="12"/>
  <c r="G107" i="12"/>
  <c r="G97" i="12" l="1"/>
  <c r="G92" i="12"/>
  <c r="T37" i="9" l="1"/>
  <c r="S37" i="9"/>
  <c r="R37" i="9"/>
  <c r="Q37" i="9"/>
  <c r="O37" i="9"/>
  <c r="N37" i="9"/>
  <c r="M37" i="9"/>
  <c r="L37" i="9"/>
  <c r="T12" i="9"/>
  <c r="S12" i="9"/>
  <c r="R12" i="9"/>
  <c r="Q12" i="9"/>
  <c r="L11" i="9"/>
  <c r="R11" i="9" s="1"/>
  <c r="T34" i="9"/>
  <c r="S34" i="9"/>
  <c r="R34" i="9"/>
  <c r="Q34" i="9"/>
  <c r="T32" i="9"/>
  <c r="S32" i="9"/>
  <c r="R32" i="9"/>
  <c r="Q32" i="9"/>
  <c r="T30" i="9"/>
  <c r="S30" i="9"/>
  <c r="R30" i="9"/>
  <c r="Q30" i="9"/>
  <c r="T23" i="9"/>
  <c r="S23" i="9"/>
  <c r="R23" i="9"/>
  <c r="T17" i="9"/>
  <c r="S17" i="9"/>
  <c r="R17" i="9"/>
  <c r="Q17" i="9"/>
  <c r="T16" i="9"/>
  <c r="S16" i="9"/>
  <c r="R16" i="9"/>
  <c r="Q16" i="9"/>
  <c r="T15" i="9"/>
  <c r="S15" i="9"/>
  <c r="R15" i="9"/>
  <c r="Q15" i="9"/>
  <c r="T11" i="9"/>
  <c r="S11" i="9"/>
  <c r="Q11" i="9"/>
  <c r="O34" i="9"/>
  <c r="N34" i="9"/>
  <c r="M34" i="9"/>
  <c r="L34" i="9"/>
  <c r="O32" i="9"/>
  <c r="N32" i="9"/>
  <c r="M32" i="9"/>
  <c r="L32" i="9"/>
  <c r="O30" i="9"/>
  <c r="N30" i="9"/>
  <c r="M30" i="9"/>
  <c r="L30" i="9"/>
  <c r="O23" i="9"/>
  <c r="N23" i="9"/>
  <c r="M23" i="9"/>
  <c r="L23" i="9"/>
  <c r="O17" i="9"/>
  <c r="N17" i="9"/>
  <c r="M17" i="9"/>
  <c r="L17" i="9"/>
  <c r="O16" i="9"/>
  <c r="N16" i="9"/>
  <c r="M16" i="9"/>
  <c r="L16" i="9"/>
  <c r="O15" i="9"/>
  <c r="N15" i="9"/>
  <c r="M15" i="9"/>
  <c r="L15" i="9"/>
  <c r="O11" i="9"/>
  <c r="N11" i="9"/>
  <c r="M11" i="9"/>
  <c r="E41" i="1" l="1"/>
  <c r="G41" i="1" s="1"/>
  <c r="E36" i="1"/>
  <c r="G36" i="1" s="1"/>
  <c r="G35" i="1"/>
  <c r="I35" i="1"/>
  <c r="H35" i="1"/>
  <c r="F35" i="1"/>
  <c r="E35" i="1"/>
  <c r="E33" i="1"/>
  <c r="G33" i="1" s="1"/>
  <c r="E32" i="1"/>
  <c r="F32" i="1" s="1"/>
  <c r="H32" i="1" s="1"/>
  <c r="I32" i="1" s="1"/>
  <c r="G32" i="1"/>
  <c r="F29" i="1"/>
  <c r="G29" i="1" s="1"/>
  <c r="I30" i="1"/>
  <c r="H30" i="1"/>
  <c r="G30" i="1"/>
  <c r="F30" i="1"/>
  <c r="P17" i="8"/>
  <c r="Q17" i="8" s="1"/>
  <c r="P15" i="8"/>
  <c r="Q15" i="8" s="1"/>
  <c r="P14" i="8"/>
  <c r="Q14" i="8" s="1"/>
  <c r="P13" i="8"/>
  <c r="Q13" i="8" s="1"/>
  <c r="P12" i="8"/>
  <c r="Q12" i="8" s="1"/>
  <c r="P11" i="8"/>
  <c r="Q11" i="8" s="1"/>
  <c r="P10" i="8"/>
  <c r="Q10" i="8" s="1"/>
  <c r="P9" i="8"/>
  <c r="Q9" i="8" s="1"/>
  <c r="P8" i="8"/>
  <c r="Q8" i="8" s="1"/>
  <c r="J17" i="8"/>
  <c r="K17" i="8" s="1"/>
  <c r="L17" i="8" s="1"/>
  <c r="M17" i="8" s="1"/>
  <c r="J15" i="8"/>
  <c r="K15" i="8" s="1"/>
  <c r="L15" i="8" s="1"/>
  <c r="M15" i="8" s="1"/>
  <c r="J14" i="8"/>
  <c r="K14" i="8" s="1"/>
  <c r="L14" i="8" s="1"/>
  <c r="M14" i="8" s="1"/>
  <c r="J13" i="8"/>
  <c r="K13" i="8" s="1"/>
  <c r="L13" i="8" s="1"/>
  <c r="M13" i="8" s="1"/>
  <c r="J12" i="8"/>
  <c r="K12" i="8" s="1"/>
  <c r="L12" i="8" s="1"/>
  <c r="M12" i="8" s="1"/>
  <c r="J11" i="8"/>
  <c r="K11" i="8" s="1"/>
  <c r="L11" i="8" s="1"/>
  <c r="M11" i="8" s="1"/>
  <c r="J10" i="8"/>
  <c r="K10" i="8" s="1"/>
  <c r="L10" i="8" s="1"/>
  <c r="M10" i="8" s="1"/>
  <c r="J9" i="8"/>
  <c r="K9" i="8" s="1"/>
  <c r="L9" i="8" s="1"/>
  <c r="M9" i="8" s="1"/>
  <c r="J8" i="8"/>
  <c r="K8" i="8" s="1"/>
  <c r="L8" i="8" s="1"/>
  <c r="M8" i="8" s="1"/>
  <c r="E30" i="1"/>
  <c r="C17" i="8"/>
  <c r="D17" i="8" s="1"/>
  <c r="E17" i="8" s="1"/>
  <c r="B17" i="8"/>
  <c r="F15" i="8"/>
  <c r="G15" i="8" s="1"/>
  <c r="D15" i="8"/>
  <c r="E15" i="8" s="1"/>
  <c r="F14" i="8"/>
  <c r="G14" i="8" s="1"/>
  <c r="D14" i="8"/>
  <c r="E14" i="8" s="1"/>
  <c r="F13" i="8"/>
  <c r="G13" i="8" s="1"/>
  <c r="D13" i="8"/>
  <c r="E13" i="8" s="1"/>
  <c r="F12" i="8"/>
  <c r="G12" i="8" s="1"/>
  <c r="D12" i="8"/>
  <c r="E12" i="8" s="1"/>
  <c r="F11" i="8"/>
  <c r="G11" i="8" s="1"/>
  <c r="D11" i="8"/>
  <c r="E11" i="8" s="1"/>
  <c r="F10" i="8"/>
  <c r="G10" i="8" s="1"/>
  <c r="D10" i="8"/>
  <c r="E10" i="8" s="1"/>
  <c r="F9" i="8"/>
  <c r="G9" i="8" s="1"/>
  <c r="D9" i="8"/>
  <c r="E9" i="8" s="1"/>
  <c r="F8" i="8"/>
  <c r="G8" i="8" s="1"/>
  <c r="D8" i="8"/>
  <c r="E8" i="8" s="1"/>
  <c r="G42" i="1"/>
  <c r="H42" i="1" s="1"/>
  <c r="I42" i="1" s="1"/>
  <c r="F42" i="1"/>
  <c r="I128" i="1"/>
  <c r="H128" i="1"/>
  <c r="G128" i="1"/>
  <c r="F128" i="1"/>
  <c r="E128" i="1"/>
  <c r="D128" i="1"/>
  <c r="C128" i="1"/>
  <c r="F126" i="1"/>
  <c r="G126" i="1" s="1"/>
  <c r="H126" i="1" s="1"/>
  <c r="I126" i="1" s="1"/>
  <c r="E126" i="1"/>
  <c r="E26" i="1"/>
  <c r="G26" i="1" s="1"/>
  <c r="I99" i="1"/>
  <c r="H99" i="1"/>
  <c r="G99" i="1"/>
  <c r="F99" i="1"/>
  <c r="E99" i="1"/>
  <c r="E121" i="1"/>
  <c r="F121" i="1" s="1"/>
  <c r="H121" i="1" s="1"/>
  <c r="H125" i="1"/>
  <c r="H124" i="1"/>
  <c r="H123" i="1"/>
  <c r="G125" i="1"/>
  <c r="G124" i="1"/>
  <c r="G123" i="1"/>
  <c r="F125" i="1"/>
  <c r="F124" i="1"/>
  <c r="F123" i="1"/>
  <c r="E125" i="1"/>
  <c r="E124" i="1"/>
  <c r="E123" i="1"/>
  <c r="E86" i="1"/>
  <c r="E85" i="1"/>
  <c r="E84" i="1"/>
  <c r="E83" i="1"/>
  <c r="E80" i="1"/>
  <c r="E79" i="1"/>
  <c r="E78" i="1"/>
  <c r="E77" i="1"/>
  <c r="E76" i="1"/>
  <c r="E75" i="1"/>
  <c r="E74" i="1"/>
  <c r="E73" i="1"/>
  <c r="E72" i="1"/>
  <c r="E71" i="1"/>
  <c r="E70" i="1"/>
  <c r="E69" i="1"/>
  <c r="G86" i="1"/>
  <c r="G85" i="1"/>
  <c r="G84" i="1"/>
  <c r="G83" i="1"/>
  <c r="F86" i="1"/>
  <c r="H86" i="1" s="1"/>
  <c r="I86" i="1" s="1"/>
  <c r="F85" i="1"/>
  <c r="H85" i="1" s="1"/>
  <c r="I85" i="1" s="1"/>
  <c r="F84" i="1"/>
  <c r="H84" i="1" s="1"/>
  <c r="I84" i="1" s="1"/>
  <c r="F83" i="1"/>
  <c r="H83" i="1" s="1"/>
  <c r="I83" i="1" s="1"/>
  <c r="I68" i="1"/>
  <c r="H68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F80" i="1"/>
  <c r="H80" i="1" s="1"/>
  <c r="I80" i="1" s="1"/>
  <c r="F79" i="1"/>
  <c r="H79" i="1" s="1"/>
  <c r="I79" i="1" s="1"/>
  <c r="F78" i="1"/>
  <c r="H78" i="1" s="1"/>
  <c r="I78" i="1" s="1"/>
  <c r="F77" i="1"/>
  <c r="H77" i="1" s="1"/>
  <c r="I77" i="1" s="1"/>
  <c r="F76" i="1"/>
  <c r="H76" i="1" s="1"/>
  <c r="I76" i="1" s="1"/>
  <c r="F75" i="1"/>
  <c r="H75" i="1" s="1"/>
  <c r="I75" i="1" s="1"/>
  <c r="F74" i="1"/>
  <c r="H74" i="1" s="1"/>
  <c r="I74" i="1" s="1"/>
  <c r="F73" i="1"/>
  <c r="H73" i="1" s="1"/>
  <c r="I73" i="1" s="1"/>
  <c r="F72" i="1"/>
  <c r="H72" i="1" s="1"/>
  <c r="I72" i="1" s="1"/>
  <c r="F71" i="1"/>
  <c r="I71" i="1" s="1"/>
  <c r="F70" i="1"/>
  <c r="H70" i="1" s="1"/>
  <c r="I70" i="1" s="1"/>
  <c r="F69" i="1"/>
  <c r="H69" i="1" s="1"/>
  <c r="I69" i="1" s="1"/>
  <c r="F68" i="1"/>
  <c r="E68" i="1"/>
  <c r="I66" i="1"/>
  <c r="H66" i="1"/>
  <c r="G66" i="1"/>
  <c r="F66" i="1"/>
  <c r="E66" i="1"/>
  <c r="E98" i="1"/>
  <c r="I25" i="1"/>
  <c r="H25" i="1"/>
  <c r="G25" i="1"/>
  <c r="F25" i="1"/>
  <c r="E25" i="1"/>
  <c r="E29" i="1"/>
  <c r="I45" i="1"/>
  <c r="H45" i="1"/>
  <c r="G45" i="1"/>
  <c r="F45" i="1"/>
  <c r="E45" i="1"/>
  <c r="I63" i="1"/>
  <c r="H63" i="1"/>
  <c r="G63" i="1"/>
  <c r="F63" i="1"/>
  <c r="E63" i="1"/>
  <c r="I21" i="1"/>
  <c r="I20" i="1"/>
  <c r="I19" i="1"/>
  <c r="I18" i="1"/>
  <c r="I17" i="1"/>
  <c r="I16" i="1"/>
  <c r="I15" i="1"/>
  <c r="I14" i="1"/>
  <c r="I12" i="1"/>
  <c r="H21" i="1"/>
  <c r="H20" i="1"/>
  <c r="H19" i="1"/>
  <c r="H18" i="1"/>
  <c r="H17" i="1"/>
  <c r="H16" i="1"/>
  <c r="H15" i="1"/>
  <c r="H14" i="1"/>
  <c r="H12" i="1"/>
  <c r="G21" i="1"/>
  <c r="G20" i="1"/>
  <c r="G19" i="1"/>
  <c r="G18" i="1"/>
  <c r="G17" i="1"/>
  <c r="G16" i="1"/>
  <c r="G15" i="1"/>
  <c r="G14" i="1"/>
  <c r="G12" i="1"/>
  <c r="F21" i="1"/>
  <c r="F20" i="1"/>
  <c r="F19" i="1"/>
  <c r="F18" i="1"/>
  <c r="F17" i="1"/>
  <c r="F16" i="1"/>
  <c r="F15" i="1"/>
  <c r="F14" i="1"/>
  <c r="F12" i="1"/>
  <c r="E21" i="1"/>
  <c r="E20" i="1"/>
  <c r="E19" i="1"/>
  <c r="E18" i="1"/>
  <c r="E17" i="1"/>
  <c r="E16" i="1"/>
  <c r="E15" i="1"/>
  <c r="E14" i="1"/>
  <c r="E12" i="1"/>
  <c r="G10" i="1"/>
  <c r="I10" i="1"/>
  <c r="H10" i="1"/>
  <c r="F10" i="1"/>
  <c r="E10" i="1"/>
  <c r="D25" i="1"/>
  <c r="C25" i="1"/>
  <c r="P12" i="9"/>
  <c r="P27" i="9"/>
  <c r="P37" i="9"/>
  <c r="P34" i="9"/>
  <c r="P32" i="9"/>
  <c r="P30" i="9"/>
  <c r="P26" i="9"/>
  <c r="P25" i="9"/>
  <c r="P23" i="9"/>
  <c r="P18" i="9"/>
  <c r="P17" i="9"/>
  <c r="P16" i="9"/>
  <c r="P15" i="9"/>
  <c r="P11" i="9"/>
  <c r="K38" i="9"/>
  <c r="Q38" i="9" s="1"/>
  <c r="J38" i="9"/>
  <c r="K37" i="9"/>
  <c r="J37" i="9"/>
  <c r="J27" i="9"/>
  <c r="K12" i="9"/>
  <c r="J12" i="9"/>
  <c r="K34" i="9"/>
  <c r="J34" i="9"/>
  <c r="K30" i="9"/>
  <c r="K32" i="9"/>
  <c r="J32" i="9"/>
  <c r="J30" i="9"/>
  <c r="K26" i="9"/>
  <c r="K25" i="9"/>
  <c r="J26" i="9"/>
  <c r="J25" i="9"/>
  <c r="K23" i="9"/>
  <c r="J23" i="9"/>
  <c r="K18" i="9"/>
  <c r="J18" i="9"/>
  <c r="K17" i="9"/>
  <c r="J17" i="9"/>
  <c r="K16" i="9"/>
  <c r="J16" i="9"/>
  <c r="K15" i="9"/>
  <c r="J15" i="9"/>
  <c r="K11" i="9"/>
  <c r="J11" i="9"/>
  <c r="F17" i="8" l="1"/>
  <c r="G17" i="8" s="1"/>
  <c r="P38" i="9"/>
  <c r="F41" i="1"/>
  <c r="H41" i="1" s="1"/>
  <c r="I41" i="1" s="1"/>
  <c r="F36" i="1"/>
  <c r="H36" i="1" s="1"/>
  <c r="I36" i="1" s="1"/>
  <c r="F33" i="1"/>
  <c r="H33" i="1" s="1"/>
  <c r="I33" i="1" s="1"/>
  <c r="H29" i="1"/>
  <c r="I29" i="1" s="1"/>
  <c r="R17" i="8"/>
  <c r="S17" i="8" s="1"/>
  <c r="R9" i="8"/>
  <c r="S9" i="8" s="1"/>
  <c r="R10" i="8"/>
  <c r="S10" i="8" s="1"/>
  <c r="R11" i="8"/>
  <c r="S11" i="8" s="1"/>
  <c r="R12" i="8"/>
  <c r="S12" i="8" s="1"/>
  <c r="R13" i="8"/>
  <c r="S13" i="8" s="1"/>
  <c r="R14" i="8"/>
  <c r="S14" i="8" s="1"/>
  <c r="R15" i="8"/>
  <c r="S15" i="8" s="1"/>
  <c r="R8" i="8"/>
  <c r="S8" i="8" s="1"/>
  <c r="F26" i="1"/>
  <c r="H26" i="1" s="1"/>
  <c r="I26" i="1" s="1"/>
  <c r="G121" i="1"/>
  <c r="AK17" i="8" l="1"/>
  <c r="AJ17" i="8"/>
  <c r="AI17" i="8"/>
  <c r="AH17" i="8"/>
  <c r="AG17" i="8"/>
  <c r="AF17" i="8"/>
  <c r="G22" i="1"/>
  <c r="F22" i="1"/>
  <c r="H22" i="1"/>
  <c r="I22" i="1" s="1"/>
</calcChain>
</file>

<file path=xl/comments1.xml><?xml version="1.0" encoding="utf-8"?>
<comments xmlns="http://schemas.openxmlformats.org/spreadsheetml/2006/main">
  <authors>
    <author>Лукьяненко Александра Олеговна</author>
  </authors>
  <commentList>
    <comment ref="D113" authorId="0">
      <text>
        <r>
          <rPr>
            <b/>
            <sz val="8"/>
            <color indexed="81"/>
            <rFont val="Tahoma"/>
            <family val="2"/>
            <charset val="204"/>
          </rPr>
          <t>Данные с аналитического отчета за 2015г.</t>
        </r>
      </text>
    </comment>
    <comment ref="C123" authorId="0">
      <text>
        <r>
          <rPr>
            <b/>
            <sz val="8"/>
            <color indexed="81"/>
            <rFont val="Tahoma"/>
            <family val="2"/>
            <charset val="204"/>
          </rPr>
          <t>Численность работников в прочих вычесть численность крупных и средних, умножить на среднюю з.п. и на 12 месяцев (3875-464*14112*12=577,63 млн. руб.)</t>
        </r>
      </text>
    </comment>
    <comment ref="D123" authorId="0">
      <text>
        <r>
          <rPr>
            <b/>
            <sz val="8"/>
            <color indexed="81"/>
            <rFont val="Tahoma"/>
            <family val="2"/>
            <charset val="204"/>
          </rPr>
          <t>Численность работников в прочих вычесть численность крупных и средних, умножить на среднюю з.п. и на 12 месяцев (3729-451,4*7757*12=305,07 млн. руб.)</t>
        </r>
      </text>
    </comment>
    <comment ref="D125" authorId="0">
      <text>
        <r>
          <rPr>
            <b/>
            <sz val="8"/>
            <color indexed="81"/>
            <rFont val="Tahoma"/>
            <family val="2"/>
            <charset val="204"/>
          </rPr>
          <t>Данные с КЭФ (ответы в прогнозе 2017-2019)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C11" authorId="0">
      <text>
        <r>
          <rPr>
            <b/>
            <sz val="8"/>
            <color indexed="81"/>
            <rFont val="Tahoma"/>
            <family val="2"/>
            <charset val="204"/>
          </rPr>
          <t>ПАО "ВСРП" 3,446+
ООО ТД "Легенда Байкала" 34,596
=38,042</t>
        </r>
      </text>
    </comment>
  </commentList>
</comments>
</file>

<file path=xl/sharedStrings.xml><?xml version="1.0" encoding="utf-8"?>
<sst xmlns="http://schemas.openxmlformats.org/spreadsheetml/2006/main" count="655" uniqueCount="361">
  <si>
    <t>в федеральный бюджет</t>
  </si>
  <si>
    <t>в областной бюджет</t>
  </si>
  <si>
    <t>Оптовая и розничная торговля; ремонт автотранспортных средств, мотоциклов, бытовых изделий и предметов личного пользования</t>
  </si>
  <si>
    <t>Индекс промышленного производства</t>
  </si>
  <si>
    <t>Индекс производства продукции сельского хозяйства в сельхозорганизациях</t>
  </si>
  <si>
    <t>Объем выполненных работ и услуг собственными силами предприятий и организаций</t>
  </si>
  <si>
    <t>Объем инвестиций в основной капитал за счет всех источников -  всего</t>
  </si>
  <si>
    <t>Прочие доходы</t>
  </si>
  <si>
    <t xml:space="preserve">2 вариант </t>
  </si>
  <si>
    <t>Наименование показателя</t>
  </si>
  <si>
    <t>Ед. изм.</t>
  </si>
  <si>
    <t>Итоги развития МО</t>
  </si>
  <si>
    <t>млн.руб.</t>
  </si>
  <si>
    <t>в т.ч. по видам экономической деятельности:</t>
  </si>
  <si>
    <t>%</t>
  </si>
  <si>
    <t>руб.</t>
  </si>
  <si>
    <t>Состояние основных видов экономической деятельности хозяйствующих субъектов МО</t>
  </si>
  <si>
    <t>Добыча полезных ископаемых (C):</t>
  </si>
  <si>
    <t>Обрабатывающие производства (D):</t>
  </si>
  <si>
    <t>Производство и распределение электроэнергии, газа и воды (E):</t>
  </si>
  <si>
    <t xml:space="preserve">Сельское хозяйство </t>
  </si>
  <si>
    <t>Валовый выпуск продукции  в сельхозорганизациях</t>
  </si>
  <si>
    <t>Строительство</t>
  </si>
  <si>
    <t>Ввод в действие жилых домов</t>
  </si>
  <si>
    <t>кв. м</t>
  </si>
  <si>
    <t>Введено жилья на душу населения</t>
  </si>
  <si>
    <t>Торговля</t>
  </si>
  <si>
    <t xml:space="preserve">Розничный товарооборот </t>
  </si>
  <si>
    <t xml:space="preserve">Индекс физического объема </t>
  </si>
  <si>
    <t>Малый бизнес</t>
  </si>
  <si>
    <t>ед.</t>
  </si>
  <si>
    <t>тыс.чел.</t>
  </si>
  <si>
    <t>тыс. чел.</t>
  </si>
  <si>
    <t>в том числе:</t>
  </si>
  <si>
    <t>Выплаты социального характера</t>
  </si>
  <si>
    <t>Фонд оплаты труда</t>
  </si>
  <si>
    <t>** Раздел  "Производство и распределение электроэнергии, газа и воды"  охватывает  электроэнергетику (код 11100), а также группировки ОКОНХ "Наружное освещение" (код  90212), "Газоснабжение" (код  90214) и "Теплоснабжение" (код  90215), отнесенные в ОКОНХ к отрасли "Коммунальное хозяйство ".</t>
  </si>
  <si>
    <t>(органы местного самоуправления при необходимости дополняют номенклатуру продукции)</t>
  </si>
  <si>
    <t>Средняя цена за единицу продукции, тыс. рублей</t>
  </si>
  <si>
    <t>А</t>
  </si>
  <si>
    <t>ПРОМЫШЛЕННОЕ ПРОИЗВОДСТВО:</t>
  </si>
  <si>
    <t xml:space="preserve"> Добыча полезных ископаемых (Раздел С)</t>
  </si>
  <si>
    <t>Материалы строительные нерудные</t>
  </si>
  <si>
    <t>тыс. м3</t>
  </si>
  <si>
    <t>т</t>
  </si>
  <si>
    <t>ИТОГО</t>
  </si>
  <si>
    <t xml:space="preserve"> Обрабатывающие производства (Раздел  D)</t>
  </si>
  <si>
    <t>Хлеб и хлебобулочные изделия - всего</t>
  </si>
  <si>
    <t>Изделия кондитерские мучные</t>
  </si>
  <si>
    <t>Макаронные изделия - всего</t>
  </si>
  <si>
    <t>тыс. дкл</t>
  </si>
  <si>
    <t>Безалкогольные напитки</t>
  </si>
  <si>
    <t>Целлюлоза товарная</t>
  </si>
  <si>
    <t>Бумага</t>
  </si>
  <si>
    <t>Картон (включая бумагу для гофрирования)</t>
  </si>
  <si>
    <t>Газеты (экземпляров, тираж условный /в 4-х полосном исчислении формата А2/)</t>
  </si>
  <si>
    <t>млн.шт</t>
  </si>
  <si>
    <t>Конструкции и детали сборные железобетонные</t>
  </si>
  <si>
    <t>Раствор строительный (товарный выпуск)</t>
  </si>
  <si>
    <t xml:space="preserve">Производство и распределение электроэнергии, газа и воды (Раздел Е)
</t>
  </si>
  <si>
    <t>Электроэнергия - всего</t>
  </si>
  <si>
    <t>Распределение электроэнергии</t>
  </si>
  <si>
    <t>тыс. Гкал</t>
  </si>
  <si>
    <t>Производство пара и горячей воды (тепловой энергии) котельными</t>
  </si>
  <si>
    <t>Котельными</t>
  </si>
  <si>
    <t>Передача пара и горячей воды (тепловой энергии)</t>
  </si>
  <si>
    <t>Теплоэнергия - всего</t>
  </si>
  <si>
    <t>Распределение пара и горячей воды (тепловой энергии)</t>
  </si>
  <si>
    <t>Итого по промышленному производству (сумма разделов C+D+E)</t>
  </si>
  <si>
    <t>Сельское хозяйство</t>
  </si>
  <si>
    <t>Государственное управление и обеспечение военной безопасности; обязательное социальное обеспечение</t>
  </si>
  <si>
    <t>Добыча полезных ископаемых</t>
  </si>
  <si>
    <t>Обрабатывающие производства</t>
  </si>
  <si>
    <t>Производство и распределение электроэнергии, газа и воды</t>
  </si>
  <si>
    <t>Транспорт и связь</t>
  </si>
  <si>
    <t>Образование</t>
  </si>
  <si>
    <t>Здравоохранение и предоставление социальных услуг</t>
  </si>
  <si>
    <t>Предоставление прочих коммунальных, социальных и персональных услуг</t>
  </si>
  <si>
    <t>из них по отраслям социальной сферы:</t>
  </si>
  <si>
    <t>Прочие</t>
  </si>
  <si>
    <t>Культура и искусство</t>
  </si>
  <si>
    <t>Физическая культура</t>
  </si>
  <si>
    <t>Управление</t>
  </si>
  <si>
    <t>Лесное хозяйство и предоставление услуг в этой области*</t>
  </si>
  <si>
    <t>Производство и распределение электроэнергии, газа и воды**</t>
  </si>
  <si>
    <t>ГВт.ч
 (млн.  Квт.ч.)</t>
  </si>
  <si>
    <t>х</t>
  </si>
  <si>
    <t>Наименование элементарного вида деятельности,
 товара-представителя</t>
  </si>
  <si>
    <t>*) сопоставимая цена 1994 г. (рублей за единицу продукции)</t>
  </si>
  <si>
    <t xml:space="preserve">В том числе из общей численности работающих численность работников бюджетной сферы, финансируемой из консолидированного местного бюджета-всего, </t>
  </si>
  <si>
    <t xml:space="preserve">*** Индекс промышленного производства исчисляется по видам экономической деятельности "Добыча  полезных ископаемых", "Обрабатывающие  производства",  "Производство и  распределение  электроэнергии,  газа  и  воды"  в  сопоставимых ценах. </t>
  </si>
  <si>
    <t xml:space="preserve">***) В данной форме органы местного самоуправления показывают только ту продукцию, которая производится в муниципальном образовании, остальные наименования товаров удаляются. </t>
  </si>
  <si>
    <t xml:space="preserve">1 вариант </t>
  </si>
  <si>
    <t>Приложение 1</t>
  </si>
  <si>
    <t>Приложение 3 к прогнозу</t>
  </si>
  <si>
    <t>Прогноз на:</t>
  </si>
  <si>
    <t xml:space="preserve"> Добыча полезных ископаемых,кроме топливно-энергетических (Подраздел СВ)</t>
  </si>
  <si>
    <t xml:space="preserve">Производство пищевых продуктов, включая напитки, и табака (Подраздел DA)
</t>
  </si>
  <si>
    <t xml:space="preserve">Целлюлозно-бумажное производство; издательская и полиграфическая деятельность (Подраздел DE)
</t>
  </si>
  <si>
    <t xml:space="preserve">Производство прочих неметаллических минеральных продуктов (Подраздел DI)
</t>
  </si>
  <si>
    <t>Лесозаготовки</t>
  </si>
  <si>
    <t>Количество индивидуальных предпринимателей</t>
  </si>
  <si>
    <t>Промышленное производство:</t>
  </si>
  <si>
    <t xml:space="preserve"> в том числе по видам экономической деятельности:</t>
  </si>
  <si>
    <t>Индекс промышленного производства - всего***:</t>
  </si>
  <si>
    <t xml:space="preserve">Расчет индексов производства продукции
по элементарному виду деятельности,  исходя из динамики по товарам-представителям
</t>
  </si>
  <si>
    <t>**) индекс производства продукции расчитывается по разделам видов экономической деятельности и в целом по промышленности, с/х</t>
  </si>
  <si>
    <t>Произведено продукции в натуральном выражении</t>
  </si>
  <si>
    <t>Объем отгруженных товаров собственного производства, выполненных работ и услуг собственными силами</t>
  </si>
  <si>
    <t>Объем отгруженных товаров собственного производства, выполненных работ и услуг собственными силами (С+D+E):</t>
  </si>
  <si>
    <t>№ п/п</t>
  </si>
  <si>
    <t>Число действующих микропредприятий - всего</t>
  </si>
  <si>
    <t>Среднемесячная начисленная заработная плата работников малых предприятий (с учетом микропредприятий)</t>
  </si>
  <si>
    <t>Число действующих малых предприятий - всего (с учетом микропредприятий)</t>
  </si>
  <si>
    <t>Уд. вес выручки предприятий малого бизнеса (с учетом микропредприятий) в выручке  в целом по МО</t>
  </si>
  <si>
    <t xml:space="preserve">В том числе из общей численности работающих численность работников малых предприятий (с учетом микропредприятий)-всего, </t>
  </si>
  <si>
    <t>Среднесписочная численность работников (без внешних совместителей) по полному кругу организаций,</t>
  </si>
  <si>
    <t xml:space="preserve">Фонд начисленной заработной платы по полному кругу организаций, </t>
  </si>
  <si>
    <t>Фонд начисленной заработной платы работников малых предприятий (с учетом микропредприятий)</t>
  </si>
  <si>
    <t>Среднемесячная начисленная заработная плата (без выплат социального характера) по полному кругу организаций,</t>
  </si>
  <si>
    <t xml:space="preserve">Выручка от реализации продукции, работ, услуг (в действующих ценах) по полному кругу организаций, </t>
  </si>
  <si>
    <t xml:space="preserve">Выручка от реализации продукции, работ, услуг (в действующих ценах) предприятий малого бизнеса (с учетом микропредприятий) </t>
  </si>
  <si>
    <t>Уд. вес выручки предприятий микропредприятий в выручке  в целом по МО</t>
  </si>
  <si>
    <t>Фонд начисленной заработной платы работников сельского хозяйства</t>
  </si>
  <si>
    <t>Наименование проекта</t>
  </si>
  <si>
    <t>Инвестор</t>
  </si>
  <si>
    <t>Объем инвестиций, млн.руб.</t>
  </si>
  <si>
    <t>Выручка от реализации продукции, работ, услуг, млн.руб.</t>
  </si>
  <si>
    <t>Приложение 4.</t>
  </si>
  <si>
    <t xml:space="preserve">Показатели социально-экономического развития базовых предприятий </t>
  </si>
  <si>
    <t xml:space="preserve">(предоставляется отдельно по каждому предприятию) </t>
  </si>
  <si>
    <t>________________________________________________________________________________________</t>
  </si>
  <si>
    <t>(наименование предприятия)</t>
  </si>
  <si>
    <t xml:space="preserve">Показатели </t>
  </si>
  <si>
    <t>Ед. измер.</t>
  </si>
  <si>
    <t>прогноз на:</t>
  </si>
  <si>
    <t xml:space="preserve">Среднегод. стоим. ОФ по остат. стоимости </t>
  </si>
  <si>
    <t>тыс. руб.</t>
  </si>
  <si>
    <t>Инвестиции в основной капитал</t>
  </si>
  <si>
    <t>Выручка от реализации товаров (работ, услуг)</t>
  </si>
  <si>
    <t>Удельный вес экспорта в объеме реализации</t>
  </si>
  <si>
    <t>Прибыль (убыток) до налогообложения</t>
  </si>
  <si>
    <t>Объем затрат на производство и реализацию продукции (работ, услуг)</t>
  </si>
  <si>
    <t>Затраты на рубль реализованной  продукции</t>
  </si>
  <si>
    <t>Удельный вес в затратах на производство и реализацию продукции (услуг) на:</t>
  </si>
  <si>
    <t xml:space="preserve">  - электрическую энергию</t>
  </si>
  <si>
    <t xml:space="preserve">  - тепловую энергию</t>
  </si>
  <si>
    <t xml:space="preserve">  - топливо</t>
  </si>
  <si>
    <t xml:space="preserve">  - ж/д перевозки</t>
  </si>
  <si>
    <t>Налоги и платежи в бюджеты всех уровней</t>
  </si>
  <si>
    <t xml:space="preserve">  - начисленные</t>
  </si>
  <si>
    <t xml:space="preserve">  - уплаченные</t>
  </si>
  <si>
    <t xml:space="preserve"> в том числе в консолидированный бюджет области:</t>
  </si>
  <si>
    <t>Задолженность по платежам в бюджеты всех уровней (на конец года) - всего,</t>
  </si>
  <si>
    <t>в том числе</t>
  </si>
  <si>
    <t>в консолидированный местный бюджет</t>
  </si>
  <si>
    <t>Среднесписочная численность работающих</t>
  </si>
  <si>
    <t>чел.</t>
  </si>
  <si>
    <t>Задолженность по заработной плате на конец года</t>
  </si>
  <si>
    <t>Выпуск основных видов продукции:</t>
  </si>
  <si>
    <t>в натур. выраж.</t>
  </si>
  <si>
    <t>Подпись руководителя предприятия</t>
  </si>
  <si>
    <r>
      <t xml:space="preserve">Загруженность мощностей                                                                      </t>
    </r>
    <r>
      <rPr>
        <sz val="12"/>
        <rFont val="Times New Roman"/>
        <family val="1"/>
        <charset val="204"/>
      </rPr>
      <t>(средняя или по основной номенклатуре)</t>
    </r>
  </si>
  <si>
    <r>
      <t xml:space="preserve">Износ машин и оборудования                                                                   </t>
    </r>
    <r>
      <rPr>
        <sz val="12"/>
        <rFont val="Times New Roman"/>
        <family val="1"/>
        <charset val="204"/>
      </rPr>
      <t>(активной части ОФ)</t>
    </r>
  </si>
  <si>
    <t>Количество создаваемых новых рабочих мест</t>
  </si>
  <si>
    <t xml:space="preserve">Выпуск продукции в натуральном выражении
 (в соотв. ед.) 
</t>
  </si>
  <si>
    <t>Количество ежегодно создаваемых новых рабочих мест, ед.</t>
  </si>
  <si>
    <t>Наименование 
городского (сельского) поселения и населенного пункта на территории которого предполагается реализация инвестпроекта</t>
  </si>
  <si>
    <t>и т.д.</t>
  </si>
  <si>
    <t>продукция 
№ 1</t>
  </si>
  <si>
    <t>продукция 
№ 2</t>
  </si>
  <si>
    <t>продукция № 3</t>
  </si>
  <si>
    <t>Проект 1</t>
  </si>
  <si>
    <t xml:space="preserve">Период реализации проекта </t>
  </si>
  <si>
    <t>Экономи-
ческий эффект (прибыль), млн. руб.</t>
  </si>
  <si>
    <t xml:space="preserve">Демография, трудовые ресурсы и уровень жизни населения </t>
  </si>
  <si>
    <t>Численность постоянного населения - всего</t>
  </si>
  <si>
    <t>2014 г.</t>
  </si>
  <si>
    <t>Приложение 6 к прогнозу</t>
  </si>
  <si>
    <t>2015 г.</t>
  </si>
  <si>
    <t>Уровень регистрируемой безработицы (к трудоспособному населению)</t>
  </si>
  <si>
    <t>Фонд начисленной заработной платы работников бюджетной сферы</t>
  </si>
  <si>
    <t>2016 г.</t>
  </si>
  <si>
    <t>Период реализации</t>
  </si>
  <si>
    <t>Объем инвестиций, млн. руб.</t>
  </si>
  <si>
    <t>Выручка от реализации продукции, работ, услуг, млн. руб.</t>
  </si>
  <si>
    <t>продукция №1</t>
  </si>
  <si>
    <t>продукция №2</t>
  </si>
  <si>
    <t>Выпуск продукции в натуральном выражении (в соотв. ед.)</t>
  </si>
  <si>
    <t>Экономи-ческий эффект (прибыль), млн. руб.</t>
  </si>
  <si>
    <t>Проект 2</t>
  </si>
  <si>
    <t>…</t>
  </si>
  <si>
    <t>Прибыль прибыльных предприятий (с учетом предприятий малого бизнеса)</t>
  </si>
  <si>
    <t>Наименование поселения</t>
  </si>
  <si>
    <t>Фонд оплаты труда, млн. руб.</t>
  </si>
  <si>
    <t>Среднесписочная численность работающих, чел.</t>
  </si>
  <si>
    <t>Выручка от реализации товаров (работ, услуг), млн. руб.</t>
  </si>
  <si>
    <t>* В целом по муниципальному району заполняется сумма показателей по городским и сельским поселениям. Значение каждого показателя в целом по району должны соответствовать значению показателя указанному в сводной форме "Прогноза".</t>
  </si>
  <si>
    <t>ИТОГО по району*</t>
  </si>
  <si>
    <t>Индивидуальные предприниматели</t>
  </si>
  <si>
    <t>Малые предприятия</t>
  </si>
  <si>
    <t>Микропредприятия</t>
  </si>
  <si>
    <t>Валовый совокупный доход (сумма ФОТ, выплат соцхарактера, прочих доходов)</t>
  </si>
  <si>
    <t>Земельный налог</t>
  </si>
  <si>
    <t>Налог на имущество физических лиц</t>
  </si>
  <si>
    <t>Единый налог на вмененный доход</t>
  </si>
  <si>
    <t>Налог, взимаемый в связи с применением патентной системы налогообложения</t>
  </si>
  <si>
    <t>1. Налог на доходы физических лиц</t>
  </si>
  <si>
    <t>2. Налоги на имущество:</t>
  </si>
  <si>
    <t>Доходный потенциал (объем налогов, формируемых на территории) - всего:</t>
  </si>
  <si>
    <t>(ред. от 29.06.2012)</t>
  </si>
  <si>
    <t>ст.3</t>
  </si>
  <si>
    <t>15 =
итог гр.10/
итог гр.9
* 100</t>
  </si>
  <si>
    <t>16 =
итог гр.11/
итог гр.10
* 100</t>
  </si>
  <si>
    <t>17 =
итог гр.12/
итог гр.11
* 100</t>
  </si>
  <si>
    <t>18 =
итог гр.13/
итог гр.12
* 100</t>
  </si>
  <si>
    <t>19 =
итог гр.14/
итог гр.13
* 100</t>
  </si>
  <si>
    <t>Наименование проекта и населенного пункта, где планируется реализация проекта</t>
  </si>
  <si>
    <t>Число безработных граждан, чел.</t>
  </si>
  <si>
    <t>Количество субъектов малого и среднего предпринимательства (ед.):</t>
  </si>
  <si>
    <t>Доходный потенциал территориии</t>
  </si>
  <si>
    <t>3. Налоги со специальным режимом:</t>
  </si>
  <si>
    <t>ВСЕГО ПО ПОСЕЛЕНИЮ</t>
  </si>
  <si>
    <t>ИТОГО ПО РАЙОНУ</t>
  </si>
  <si>
    <t>Потенциал поступлений земельного налога</t>
  </si>
  <si>
    <t>из них по категориям работников:</t>
  </si>
  <si>
    <t xml:space="preserve">Среднемесячная начисленная заработная плата работников бюджетной сферы, финансируемой из консолидированного местного бюджета с учетом "дорожных карт" МО - всего, </t>
  </si>
  <si>
    <t>кадастровая стоимость земельных участков,
 признаваемых объектом налогообложения-всего</t>
  </si>
  <si>
    <t>Общая инвентаризационная стоимость строений, помещений и сооружений, по которым предъявлен налог к уплате</t>
  </si>
  <si>
    <t>Общая инвентаризационная стоимость объектов налогообложения</t>
  </si>
  <si>
    <t>2017 год</t>
  </si>
  <si>
    <t>2017 г.</t>
  </si>
  <si>
    <t>факт 2013</t>
  </si>
  <si>
    <t>Число предприятий, зарегистрированных на территории МО - всего, 
ед.</t>
  </si>
  <si>
    <t>в том числе по видам деятельности:</t>
  </si>
  <si>
    <t>Число муниципальных учреждений, ед.</t>
  </si>
  <si>
    <t>Факт 
2014 года</t>
  </si>
  <si>
    <t>2018 год</t>
  </si>
  <si>
    <t>2018 г.</t>
  </si>
  <si>
    <t>Факт 
2014 г.</t>
  </si>
  <si>
    <t>оценка 2015</t>
  </si>
  <si>
    <t>Перечень инвестиционных проектов, реализация которых предполагается в 2015-2018 гг.</t>
  </si>
  <si>
    <t>Всего за 2015-2018 гг., 
в т.ч. по годам:</t>
  </si>
  <si>
    <t>факт 2014</t>
  </si>
  <si>
    <t xml:space="preserve">Дошкольное образование </t>
  </si>
  <si>
    <t>Основное общее и среднее (полное) общее образование</t>
  </si>
  <si>
    <t>Дополнительное образование детей</t>
  </si>
  <si>
    <t>Деятельность в области спорта</t>
  </si>
  <si>
    <t>Прочая деятельность в области культуры</t>
  </si>
  <si>
    <t>наименование и местоположение предприятия  (по месту регистрации)</t>
  </si>
  <si>
    <t>численность работников, чел.</t>
  </si>
  <si>
    <t>Сельское 
хозяйство</t>
  </si>
  <si>
    <t>Промыш-
ленность</t>
  </si>
  <si>
    <t>Лесо-
заготовки</t>
  </si>
  <si>
    <t>Строи-
тельство</t>
  </si>
  <si>
    <r>
      <t>Основные сведения 
о градообразующем предприятии
(</t>
    </r>
    <r>
      <rPr>
        <b/>
        <sz val="14"/>
        <rFont val="Times New Roman"/>
        <family val="1"/>
        <charset val="204"/>
      </rPr>
      <t>КРИТЕРИИ</t>
    </r>
    <r>
      <rPr>
        <sz val="14"/>
        <rFont val="Times New Roman"/>
        <family val="1"/>
        <charset val="204"/>
      </rPr>
      <t xml:space="preserve"> установлены ст. 169 ФЗ №127 
"О несостоятельности (банкротстве)": численность работников организаций свыше 5 тыс. чел. либо составляет не менее 25% численности работающего населения соответствующего населенного пункта)</t>
    </r>
  </si>
  <si>
    <t>Факт 
2015 года</t>
  </si>
  <si>
    <t>Оценка 
2016 года</t>
  </si>
  <si>
    <t>2019 год</t>
  </si>
  <si>
    <t>Прогноз предоставляется 
до 15 июля  2016 года</t>
  </si>
  <si>
    <t>Форма прогноза 
до 2019 г.</t>
  </si>
  <si>
    <t>Факт 
2015 г.</t>
  </si>
  <si>
    <t>2019 г.</t>
  </si>
  <si>
    <t>факт 2015</t>
  </si>
  <si>
    <t>оценка 2016</t>
  </si>
  <si>
    <t>Отдельные показатели прогноза развития муниципальных образований поселенческого уровня на 2017-2019 годы*</t>
  </si>
  <si>
    <t>Оценка 2016 г.</t>
  </si>
  <si>
    <t>Всего за 2016-2019 гг., 
в т.ч. по годам:</t>
  </si>
  <si>
    <t>Прогноз индекса производства</t>
  </si>
  <si>
    <t>Прогноз социально-экономического развитя муниципального образования Слюдянский район  на 2017-2019 гг.</t>
  </si>
  <si>
    <t>.</t>
  </si>
  <si>
    <t>Сельское хозяйство,охота и лесное хазяйство</t>
  </si>
  <si>
    <t>Сельское хозяйство,охота и лесное хозяйство</t>
  </si>
  <si>
    <t xml:space="preserve">в том числе: </t>
  </si>
  <si>
    <t>1.Байкальское городское поселение</t>
  </si>
  <si>
    <t>2.Слюдянское городское поселение</t>
  </si>
  <si>
    <t>3.Култукское городское поселение</t>
  </si>
  <si>
    <t>4.Портбайкальское сельское поселение</t>
  </si>
  <si>
    <t>5.Утуликское сельское поселение</t>
  </si>
  <si>
    <t>6.Новоснежниское сельское поселение</t>
  </si>
  <si>
    <t>7.Быстринское сельское поселение</t>
  </si>
  <si>
    <t>8.Маритуйское сельское поселение</t>
  </si>
  <si>
    <t>Сельское хозяйство, охота и лесное хозяйство в этих областях</t>
  </si>
  <si>
    <t>ООО "Байкальские макароны"</t>
  </si>
  <si>
    <t xml:space="preserve">Объем произведенной продукции в сопоставимых ценах </t>
  </si>
  <si>
    <t>Байкальское городское поселение</t>
  </si>
  <si>
    <t>Создание индустриального парка "Байкальский"</t>
  </si>
  <si>
    <t>Министерство экономического развития Иркутской области, 
АО "Корпорация развития Иркутской области"</t>
  </si>
  <si>
    <t>промплощадка ОАО "БЦБК" в г. Байкальске. Общая площадь: 305 га. Вид использования: для строительства промышленных предприятий</t>
  </si>
  <si>
    <t>Создание агротехнопарка 
(г. Байкальск, промплощадка ОАО "БЦБК")</t>
  </si>
  <si>
    <t>Инициатор - АО "Корпорация развития Иркутской области", Фонд поддержки моногородов</t>
  </si>
  <si>
    <t>Общая площадь - 69 га. Строительство тепличного комплекса - 11 га,
расширение мощностей  действующих предприятий, размещение новых перерабатывающих производств</t>
  </si>
  <si>
    <t>Инвестор - ООО "Байкал-Инком"</t>
  </si>
  <si>
    <t>Создание особой экономической зоны туристско-рекреационного типа "Ворота Байкала"
(далее - ОЭЗ)*</t>
  </si>
  <si>
    <t>ДЦП Иркутской области "Строительство объектов инфраструктуры для обустройства особой экономической зоны туристско-рекреационного типа на территории муниципального образования "Слюдянский район" на 2012-2015 годы", 
ПП "Строительство объектов инфраструктуры для обустройства особой экономической зоны туристско-рекреационного типа на территории муниципального образования "Слюдянский район" на 2014-2015 годы ГП Иркутской области "Государственная поддержка приоритетных отраслей экономики" на 2014-2020 годы, частные инвесторы</t>
  </si>
  <si>
    <t>Создание коммунальной инфраструктуры: тепло - 32200 Гкал/год, 
вода - 2000 куб.м/день, 
э/энергия 20 МВт, телекоммуникации -  210 Мбит/сек., 
14 гостиниц, 112 коттеджей, 4,8 тыс. мест размещения</t>
  </si>
  <si>
    <t>Инвестор - ООО "БГК "Гора Соболиная"</t>
  </si>
  <si>
    <t>Строительство гостиничного комплекса коттеджного типа (Слюдянский район)</t>
  </si>
  <si>
    <t>Инвестор - ОАО Группа "Илим"</t>
  </si>
  <si>
    <t xml:space="preserve">Мотели - на 50 номеров, домики - 60 шт., культурно-развлекательный комплекс и др. объекты </t>
  </si>
  <si>
    <t>Строительство малоэтажного парка-отеля 
(г. Байкальск)</t>
  </si>
  <si>
    <t>Инвестор - ООО "Гринвальд-Байкал"</t>
  </si>
  <si>
    <t>Комплекс из 18 малоэтажных зданий,  том числе: гостиничный корпус на 80 мест, гостевые дома, коттеджи, ресторан, СПА/банный комплекс, детские площадки, парковки, административные корпуса. Площадь – 8,5 га.</t>
  </si>
  <si>
    <t xml:space="preserve">гостиница «Аршан» </t>
  </si>
  <si>
    <t xml:space="preserve">ИП Верянская Т.Н. </t>
  </si>
  <si>
    <t>Магазин, кафе</t>
  </si>
  <si>
    <t>ООО "Альянс"</t>
  </si>
  <si>
    <t>Туристическая база "Сибирь"</t>
  </si>
  <si>
    <t>ООО "Сибирь"</t>
  </si>
  <si>
    <t>Слюдянское городское поселения</t>
  </si>
  <si>
    <t>Сохранение существующих производственных мощностей путем замены старых изношенных машин и оборудования</t>
  </si>
  <si>
    <t>Ангасольский щебеночный завод</t>
  </si>
  <si>
    <t>Мобильная дробильно-сортировочная установка ДРО V70-WAS2-C2</t>
  </si>
  <si>
    <t>Завод по производству питьевой бутилированной воды</t>
  </si>
  <si>
    <t>ООО "АкваСиб"</t>
  </si>
  <si>
    <t>ООО "Электромир"</t>
  </si>
  <si>
    <t>Культурно-исторический комплекс "Култукский острог" (строительство туристического комплекса)</t>
  </si>
  <si>
    <t>Култукское городское поселение</t>
  </si>
  <si>
    <r>
      <t xml:space="preserve">Сводный перечень инвестиционных проектов, реализация которых предполагается в 2016-2019 гг. 
</t>
    </r>
    <r>
      <rPr>
        <b/>
        <u/>
        <sz val="16"/>
        <rFont val="Arial"/>
        <family val="2"/>
        <charset val="204"/>
      </rPr>
      <t>Муниципального образования Слюдянский район</t>
    </r>
    <r>
      <rPr>
        <b/>
        <sz val="16"/>
        <rFont val="Arial"/>
        <family val="2"/>
        <charset val="204"/>
      </rPr>
      <t xml:space="preserve">
(наименование муниципального района, городского округа)</t>
    </r>
  </si>
  <si>
    <t>Быстринское сельское посление</t>
  </si>
  <si>
    <t xml:space="preserve"> </t>
  </si>
  <si>
    <t>мясо</t>
  </si>
  <si>
    <t>поросята</t>
  </si>
  <si>
    <t>Развития КФХ (Миронов В.Н.) по животновордству</t>
  </si>
  <si>
    <t>Развития КФХ (Балтадонис А. С.) по животновордству</t>
  </si>
  <si>
    <t>Развития КФХ (Погожев Г. В.) строительство турристической базы</t>
  </si>
  <si>
    <t>Бурение новой скважины и подключение прямого трубопровода непосредственно к производственному комплексу.</t>
  </si>
  <si>
    <t>Строительство складского комплекса площадью 2500-3000м2</t>
  </si>
  <si>
    <t>Запуск производства сокосодержащих напитков</t>
  </si>
  <si>
    <t>51750000 л.</t>
  </si>
  <si>
    <t xml:space="preserve">25000000 л. </t>
  </si>
  <si>
    <t xml:space="preserve">26750000 л. </t>
  </si>
  <si>
    <t>Вода 30500000л.</t>
  </si>
  <si>
    <t>сокосодержащие напитки 21 000 000 л.</t>
  </si>
  <si>
    <t xml:space="preserve">сокосодержащие напитки 21000000 л. </t>
  </si>
  <si>
    <t>Расширения производства х/б и кондитерских изделий</t>
  </si>
  <si>
    <t>Расширение производства макаронных изделий</t>
  </si>
  <si>
    <t>ООО "Макарон Сервис"</t>
  </si>
  <si>
    <t>Макаронные издения, тн. 49500</t>
  </si>
  <si>
    <t>Хлебобулочные, кондитерские изделия, тн. 1207</t>
  </si>
  <si>
    <t>Строительство завода по глубокой переработки недревесной продукции леса</t>
  </si>
  <si>
    <t>ООО "Травы Байкала"</t>
  </si>
  <si>
    <t>Экстракты, тн.61</t>
  </si>
  <si>
    <t>напитки сухие чайные, тыс. шт.1960</t>
  </si>
  <si>
    <t>Хостел 
(переоборудование гостиницы Байкал)</t>
  </si>
  <si>
    <t xml:space="preserve">Строительство гондольной ПКД-6 (Восточная) </t>
  </si>
  <si>
    <t>Сервисный центр</t>
  </si>
  <si>
    <t>Посещение туристами, чел.</t>
  </si>
  <si>
    <r>
      <t>Посещение туристами, чел.</t>
    </r>
    <r>
      <rPr>
        <b/>
        <sz val="10"/>
        <rFont val="Arial"/>
        <family val="2"/>
        <charset val="204"/>
      </rPr>
      <t>14477</t>
    </r>
  </si>
  <si>
    <t>Многофункциональный кемпинг п.Утулик 141 км.</t>
  </si>
  <si>
    <t>ИП Заварзин В.В.</t>
  </si>
  <si>
    <t>ЦТО "Город мастеров", п.Утулик</t>
  </si>
  <si>
    <t>ИП Мигунова О.А.</t>
  </si>
  <si>
    <t xml:space="preserve">Туристический комплекс «СИБИРЬ»   </t>
  </si>
  <si>
    <t>ИП Верхозин А.В.</t>
  </si>
  <si>
    <t>Посещение туристами, чел.0</t>
  </si>
  <si>
    <t>Посещение туристами, чел.10500</t>
  </si>
  <si>
    <t>II очередь строительства Многофункционального дорожного центра "ТракСтоп38"</t>
  </si>
  <si>
    <t>ООО "Култукский острог"</t>
  </si>
  <si>
    <t>Посещение туристами, чел. 77400</t>
  </si>
  <si>
    <t>Утуликское сельское  поселение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</si>
</sst>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0.0"/>
    <numFmt numFmtId="165" formatCode="0.000"/>
  </numFmts>
  <fonts count="53" x14ac:knownFonts="1">
    <font>
      <sz val="10"/>
      <name val="Arial Cyr"/>
      <charset val="204"/>
    </font>
    <font>
      <sz val="14"/>
      <name val="Arial Cyr"/>
      <charset val="204"/>
    </font>
    <font>
      <b/>
      <sz val="14"/>
      <name val="Arial Cyr"/>
      <family val="2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</font>
    <font>
      <sz val="14"/>
      <name val="Times New Roman"/>
      <family val="1"/>
    </font>
    <font>
      <b/>
      <i/>
      <sz val="14"/>
      <name val="Times New Roman"/>
      <family val="1"/>
    </font>
    <font>
      <i/>
      <sz val="14"/>
      <name val="Times New Roman"/>
      <family val="1"/>
      <charset val="204"/>
    </font>
    <font>
      <b/>
      <u/>
      <sz val="14"/>
      <name val="Times New Roman"/>
      <family val="1"/>
    </font>
    <font>
      <u/>
      <sz val="14"/>
      <name val="Times New Roman"/>
      <family val="1"/>
    </font>
    <font>
      <i/>
      <sz val="14"/>
      <name val="Times New Roman"/>
      <family val="1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name val="Times New Roman"/>
      <family val="1"/>
    </font>
    <font>
      <sz val="8"/>
      <name val="Arial Cyr"/>
      <charset val="204"/>
    </font>
    <font>
      <b/>
      <sz val="12"/>
      <name val="Times New Roman"/>
      <family val="1"/>
    </font>
    <font>
      <sz val="10"/>
      <name val="Times New Roman"/>
      <family val="1"/>
      <charset val="204"/>
    </font>
    <font>
      <b/>
      <sz val="22"/>
      <name val="Arial Cyr"/>
      <family val="2"/>
      <charset val="204"/>
    </font>
    <font>
      <b/>
      <sz val="16"/>
      <name val="Arial Cyr"/>
      <family val="2"/>
      <charset val="204"/>
    </font>
    <font>
      <sz val="20"/>
      <name val="Times New Roman"/>
      <family val="1"/>
      <charset val="204"/>
    </font>
    <font>
      <b/>
      <sz val="22"/>
      <name val="Times New Roman"/>
      <family val="1"/>
      <charset val="204"/>
    </font>
    <font>
      <sz val="22"/>
      <name val="Arial Cyr"/>
      <charset val="204"/>
    </font>
    <font>
      <b/>
      <sz val="20"/>
      <name val="Times New Roman"/>
      <family val="1"/>
      <charset val="204"/>
    </font>
    <font>
      <sz val="20"/>
      <name val="Arial Cyr"/>
      <charset val="204"/>
    </font>
    <font>
      <sz val="16"/>
      <name val="Times New Roman"/>
      <family val="1"/>
      <charset val="204"/>
    </font>
    <font>
      <sz val="16"/>
      <name val="Arial Cyr"/>
      <charset val="204"/>
    </font>
    <font>
      <b/>
      <u/>
      <sz val="14"/>
      <name val="Times New Roman"/>
      <family val="1"/>
      <charset val="204"/>
    </font>
    <font>
      <b/>
      <sz val="16"/>
      <name val="Times New Roman"/>
      <family val="1"/>
    </font>
    <font>
      <b/>
      <i/>
      <sz val="12"/>
      <name val="Times New Roman"/>
      <family val="1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4"/>
      <name val="Arial Cyr"/>
      <charset val="204"/>
    </font>
    <font>
      <i/>
      <sz val="12"/>
      <name val="Times New Roman"/>
      <family val="1"/>
      <charset val="204"/>
    </font>
    <font>
      <b/>
      <sz val="20"/>
      <name val="Times New Roman"/>
      <family val="1"/>
    </font>
    <font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6"/>
      <name val="Arial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sz val="12"/>
      <name val="Arial"/>
      <family val="2"/>
      <charset val="204"/>
    </font>
    <font>
      <b/>
      <sz val="10"/>
      <name val="Times New Roman CYR"/>
      <charset val="204"/>
    </font>
    <font>
      <sz val="10"/>
      <name val="Arial Cyr"/>
      <charset val="204"/>
    </font>
    <font>
      <b/>
      <i/>
      <sz val="14"/>
      <name val="Arial Cyr"/>
      <charset val="204"/>
    </font>
    <font>
      <b/>
      <sz val="8"/>
      <color indexed="81"/>
      <name val="Tahoma"/>
      <family val="2"/>
      <charset val="204"/>
    </font>
    <font>
      <b/>
      <sz val="14"/>
      <color theme="1"/>
      <name val="Arial Cyr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11"/>
      <name val="Arial"/>
      <family val="2"/>
      <charset val="204"/>
    </font>
    <font>
      <b/>
      <u/>
      <sz val="16"/>
      <name val="Arial"/>
      <family val="2"/>
      <charset val="204"/>
    </font>
    <font>
      <b/>
      <sz val="9"/>
      <name val="Times New Roman"/>
      <family val="1"/>
      <charset val="204"/>
    </font>
    <font>
      <b/>
      <sz val="1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9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23"/>
      </bottom>
      <diagonal/>
    </border>
    <border>
      <left style="thin">
        <color indexed="64"/>
      </left>
      <right/>
      <top style="dashed">
        <color indexed="23"/>
      </top>
      <bottom style="dashed">
        <color indexed="23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23"/>
      </right>
      <top style="medium">
        <color indexed="64"/>
      </top>
      <bottom style="dashed">
        <color indexed="55"/>
      </bottom>
      <diagonal/>
    </border>
    <border>
      <left style="thin">
        <color indexed="23"/>
      </left>
      <right style="thin">
        <color indexed="23"/>
      </right>
      <top style="medium">
        <color indexed="64"/>
      </top>
      <bottom style="dashed">
        <color indexed="55"/>
      </bottom>
      <diagonal/>
    </border>
    <border>
      <left style="thin">
        <color indexed="23"/>
      </left>
      <right style="thin">
        <color indexed="64"/>
      </right>
      <top style="medium">
        <color indexed="64"/>
      </top>
      <bottom style="dashed">
        <color indexed="55"/>
      </bottom>
      <diagonal/>
    </border>
    <border>
      <left style="thin">
        <color indexed="23"/>
      </left>
      <right style="thin">
        <color indexed="23"/>
      </right>
      <top/>
      <bottom style="dashed">
        <color indexed="55"/>
      </bottom>
      <diagonal/>
    </border>
    <border>
      <left style="thin">
        <color indexed="64"/>
      </left>
      <right style="thin">
        <color indexed="23"/>
      </right>
      <top style="dashed">
        <color indexed="55"/>
      </top>
      <bottom style="dashed">
        <color indexed="55"/>
      </bottom>
      <diagonal/>
    </border>
    <border>
      <left style="thin">
        <color indexed="23"/>
      </left>
      <right style="thin">
        <color indexed="23"/>
      </right>
      <top style="dashed">
        <color indexed="55"/>
      </top>
      <bottom style="dashed">
        <color indexed="55"/>
      </bottom>
      <diagonal/>
    </border>
    <border>
      <left style="thin">
        <color indexed="23"/>
      </left>
      <right style="thin">
        <color indexed="64"/>
      </right>
      <top style="dashed">
        <color indexed="55"/>
      </top>
      <bottom style="dashed">
        <color indexed="55"/>
      </bottom>
      <diagonal/>
    </border>
    <border>
      <left style="thin">
        <color indexed="64"/>
      </left>
      <right style="thin">
        <color indexed="23"/>
      </right>
      <top style="dashed">
        <color indexed="55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dashed">
        <color indexed="55"/>
      </top>
      <bottom style="medium">
        <color indexed="64"/>
      </bottom>
      <diagonal/>
    </border>
    <border>
      <left style="thin">
        <color indexed="23"/>
      </left>
      <right style="thin">
        <color indexed="64"/>
      </right>
      <top style="dashed">
        <color indexed="55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ashed">
        <color indexed="23"/>
      </bottom>
      <diagonal/>
    </border>
    <border>
      <left style="medium">
        <color indexed="64"/>
      </left>
      <right style="thin">
        <color indexed="23"/>
      </right>
      <top style="medium">
        <color indexed="64"/>
      </top>
      <bottom style="dashed">
        <color indexed="55"/>
      </bottom>
      <diagonal/>
    </border>
    <border>
      <left style="thin">
        <color indexed="23"/>
      </left>
      <right style="medium">
        <color indexed="64"/>
      </right>
      <top style="medium">
        <color indexed="64"/>
      </top>
      <bottom style="dashed">
        <color indexed="55"/>
      </bottom>
      <diagonal/>
    </border>
    <border>
      <left style="medium">
        <color indexed="64"/>
      </left>
      <right style="thin">
        <color indexed="23"/>
      </right>
      <top style="dashed">
        <color indexed="55"/>
      </top>
      <bottom style="medium">
        <color indexed="64"/>
      </bottom>
      <diagonal/>
    </border>
    <border>
      <left style="thin">
        <color indexed="23"/>
      </left>
      <right style="medium">
        <color indexed="64"/>
      </right>
      <top style="dashed">
        <color indexed="55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55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2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medium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medium">
        <color indexed="64"/>
      </left>
      <right style="thin">
        <color indexed="23"/>
      </right>
      <top style="medium">
        <color indexed="64"/>
      </top>
      <bottom/>
      <diagonal/>
    </border>
    <border>
      <left style="medium">
        <color indexed="64"/>
      </left>
      <right style="thin">
        <color indexed="23"/>
      </right>
      <top/>
      <bottom/>
      <diagonal/>
    </border>
    <border>
      <left style="medium">
        <color indexed="64"/>
      </left>
      <right style="thin">
        <color indexed="23"/>
      </right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/>
      <bottom style="medium">
        <color indexed="64"/>
      </bottom>
      <diagonal/>
    </border>
    <border>
      <left style="thin">
        <color indexed="23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23"/>
      </right>
      <top style="medium">
        <color indexed="64"/>
      </top>
      <bottom/>
      <diagonal/>
    </border>
    <border>
      <left style="thin">
        <color indexed="64"/>
      </left>
      <right style="thin">
        <color indexed="23"/>
      </right>
      <top/>
      <bottom/>
      <diagonal/>
    </border>
    <border>
      <left style="thin">
        <color indexed="64"/>
      </left>
      <right style="thin">
        <color indexed="23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8">
    <xf numFmtId="0" fontId="0" fillId="0" borderId="0"/>
    <xf numFmtId="0" fontId="41" fillId="0" borderId="0"/>
    <xf numFmtId="0" fontId="46" fillId="0" borderId="0"/>
    <xf numFmtId="43" fontId="46" fillId="0" borderId="0" applyFont="0" applyFill="0" applyBorder="0" applyAlignment="0" applyProtection="0"/>
    <xf numFmtId="0" fontId="47" fillId="0" borderId="0"/>
    <xf numFmtId="9" fontId="46" fillId="0" borderId="0" applyFont="0" applyFill="0" applyBorder="0" applyAlignment="0" applyProtection="0"/>
    <xf numFmtId="44" fontId="41" fillId="0" borderId="0" applyFont="0" applyFill="0" applyBorder="0" applyAlignment="0" applyProtection="0"/>
    <xf numFmtId="43" fontId="41" fillId="0" borderId="0" applyFont="0" applyFill="0" applyBorder="0" applyAlignment="0" applyProtection="0"/>
  </cellStyleXfs>
  <cellXfs count="444"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9" fillId="0" borderId="1" xfId="0" applyFont="1" applyBorder="1" applyAlignment="1">
      <alignment horizontal="center" vertical="center" wrapText="1"/>
    </xf>
    <xf numFmtId="0" fontId="13" fillId="0" borderId="0" xfId="0" applyFont="1"/>
    <xf numFmtId="0" fontId="24" fillId="0" borderId="0" xfId="0" applyFont="1"/>
    <xf numFmtId="0" fontId="25" fillId="0" borderId="0" xfId="0" applyFont="1"/>
    <xf numFmtId="0" fontId="16" fillId="0" borderId="0" xfId="0" applyFont="1"/>
    <xf numFmtId="0" fontId="19" fillId="0" borderId="0" xfId="0" applyFont="1" applyBorder="1" applyAlignment="1">
      <alignment horizontal="center"/>
    </xf>
    <xf numFmtId="0" fontId="23" fillId="0" borderId="0" xfId="0" applyFont="1" applyBorder="1"/>
    <xf numFmtId="0" fontId="24" fillId="0" borderId="0" xfId="0" applyFont="1" applyFill="1"/>
    <xf numFmtId="0" fontId="20" fillId="0" borderId="7" xfId="0" applyFont="1" applyBorder="1" applyAlignment="1">
      <alignment wrapText="1"/>
    </xf>
    <xf numFmtId="0" fontId="19" fillId="0" borderId="8" xfId="0" applyFont="1" applyBorder="1"/>
    <xf numFmtId="0" fontId="19" fillId="0" borderId="9" xfId="0" applyFont="1" applyBorder="1"/>
    <xf numFmtId="0" fontId="23" fillId="0" borderId="9" xfId="0" applyFont="1" applyBorder="1"/>
    <xf numFmtId="0" fontId="27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right" vertical="center" wrapText="1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0" fillId="0" borderId="0" xfId="0" applyFill="1"/>
    <xf numFmtId="0" fontId="15" fillId="0" borderId="0" xfId="0" applyFont="1" applyFill="1" applyAlignment="1">
      <alignment horizontal="right" vertical="center" wrapText="1"/>
    </xf>
    <xf numFmtId="0" fontId="24" fillId="0" borderId="13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19" fillId="0" borderId="0" xfId="0" applyFont="1" applyBorder="1" applyAlignment="1">
      <alignment horizontal="center" vertical="center"/>
    </xf>
    <xf numFmtId="0" fontId="19" fillId="0" borderId="9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0" fillId="0" borderId="0" xfId="0" applyAlignment="1">
      <alignment vertical="center"/>
    </xf>
    <xf numFmtId="0" fontId="19" fillId="0" borderId="0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vertical="center"/>
    </xf>
    <xf numFmtId="0" fontId="24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33" fillId="0" borderId="0" xfId="0" applyFont="1" applyFill="1" applyAlignment="1">
      <alignment horizontal="right" vertical="center" wrapText="1"/>
    </xf>
    <xf numFmtId="0" fontId="34" fillId="3" borderId="0" xfId="0" applyFont="1" applyFill="1" applyAlignment="1">
      <alignment horizontal="left" wrapText="1"/>
    </xf>
    <xf numFmtId="0" fontId="34" fillId="3" borderId="0" xfId="0" applyFont="1" applyFill="1"/>
    <xf numFmtId="0" fontId="16" fillId="3" borderId="0" xfId="0" applyFont="1" applyFill="1"/>
    <xf numFmtId="0" fontId="34" fillId="3" borderId="0" xfId="0" applyFont="1" applyFill="1" applyBorder="1" applyAlignment="1">
      <alignment horizontal="center" vertical="center" wrapText="1"/>
    </xf>
    <xf numFmtId="0" fontId="29" fillId="3" borderId="23" xfId="0" applyFont="1" applyFill="1" applyBorder="1" applyAlignment="1">
      <alignment horizontal="center" vertical="center" wrapText="1"/>
    </xf>
    <xf numFmtId="0" fontId="29" fillId="3" borderId="24" xfId="0" applyFont="1" applyFill="1" applyBorder="1" applyAlignment="1">
      <alignment horizontal="center" vertical="center" wrapText="1"/>
    </xf>
    <xf numFmtId="0" fontId="29" fillId="3" borderId="25" xfId="0" applyFont="1" applyFill="1" applyBorder="1" applyAlignment="1">
      <alignment horizontal="left" vertical="center" wrapText="1"/>
    </xf>
    <xf numFmtId="0" fontId="34" fillId="3" borderId="26" xfId="0" applyFont="1" applyFill="1" applyBorder="1" applyAlignment="1">
      <alignment horizontal="center" vertical="center" wrapText="1"/>
    </xf>
    <xf numFmtId="0" fontId="29" fillId="3" borderId="26" xfId="0" applyFont="1" applyFill="1" applyBorder="1" applyAlignment="1">
      <alignment horizontal="center" vertical="center" wrapText="1"/>
    </xf>
    <xf numFmtId="0" fontId="29" fillId="3" borderId="27" xfId="0" applyFont="1" applyFill="1" applyBorder="1" applyAlignment="1">
      <alignment horizontal="center" vertical="center" wrapText="1"/>
    </xf>
    <xf numFmtId="0" fontId="29" fillId="3" borderId="28" xfId="0" applyFont="1" applyFill="1" applyBorder="1" applyAlignment="1">
      <alignment horizontal="center" vertical="center" wrapText="1"/>
    </xf>
    <xf numFmtId="0" fontId="29" fillId="3" borderId="29" xfId="0" applyFont="1" applyFill="1" applyBorder="1" applyAlignment="1">
      <alignment horizontal="left" vertical="center" wrapText="1"/>
    </xf>
    <xf numFmtId="0" fontId="34" fillId="3" borderId="30" xfId="0" applyFont="1" applyFill="1" applyBorder="1" applyAlignment="1">
      <alignment horizontal="center" vertical="center" wrapText="1"/>
    </xf>
    <xf numFmtId="0" fontId="29" fillId="3" borderId="30" xfId="0" applyFont="1" applyFill="1" applyBorder="1" applyAlignment="1">
      <alignment horizontal="center" vertical="center" wrapText="1"/>
    </xf>
    <xf numFmtId="0" fontId="29" fillId="3" borderId="31" xfId="0" applyFont="1" applyFill="1" applyBorder="1" applyAlignment="1">
      <alignment horizontal="center" vertical="center" wrapText="1"/>
    </xf>
    <xf numFmtId="0" fontId="34" fillId="3" borderId="30" xfId="0" applyFont="1" applyFill="1" applyBorder="1"/>
    <xf numFmtId="0" fontId="34" fillId="3" borderId="31" xfId="0" applyFont="1" applyFill="1" applyBorder="1"/>
    <xf numFmtId="0" fontId="34" fillId="3" borderId="29" xfId="0" applyFont="1" applyFill="1" applyBorder="1" applyAlignment="1">
      <alignment horizontal="left" vertical="center" wrapText="1"/>
    </xf>
    <xf numFmtId="0" fontId="32" fillId="3" borderId="29" xfId="0" applyFont="1" applyFill="1" applyBorder="1" applyAlignment="1">
      <alignment horizontal="left" vertical="center" wrapText="1"/>
    </xf>
    <xf numFmtId="0" fontId="29" fillId="3" borderId="32" xfId="0" applyFont="1" applyFill="1" applyBorder="1" applyAlignment="1">
      <alignment horizontal="left" vertical="center" wrapText="1"/>
    </xf>
    <xf numFmtId="0" fontId="34" fillId="3" borderId="33" xfId="0" applyFont="1" applyFill="1" applyBorder="1" applyAlignment="1">
      <alignment horizontal="center" vertical="center" wrapText="1"/>
    </xf>
    <xf numFmtId="0" fontId="34" fillId="3" borderId="33" xfId="0" applyFont="1" applyFill="1" applyBorder="1"/>
    <xf numFmtId="0" fontId="34" fillId="3" borderId="34" xfId="0" applyFont="1" applyFill="1" applyBorder="1"/>
    <xf numFmtId="0" fontId="29" fillId="3" borderId="0" xfId="0" applyFont="1" applyFill="1" applyBorder="1" applyAlignment="1">
      <alignment horizontal="left" vertical="center" wrapText="1"/>
    </xf>
    <xf numFmtId="0" fontId="34" fillId="3" borderId="0" xfId="0" applyFont="1" applyFill="1" applyBorder="1"/>
    <xf numFmtId="0" fontId="30" fillId="3" borderId="0" xfId="0" applyFont="1" applyFill="1" applyAlignment="1">
      <alignment horizontal="left" vertical="center" wrapText="1"/>
    </xf>
    <xf numFmtId="0" fontId="34" fillId="3" borderId="0" xfId="0" applyFont="1" applyFill="1" applyAlignment="1">
      <alignment horizontal="left" vertical="center" wrapText="1"/>
    </xf>
    <xf numFmtId="0" fontId="34" fillId="3" borderId="26" xfId="0" applyFont="1" applyFill="1" applyBorder="1"/>
    <xf numFmtId="0" fontId="34" fillId="3" borderId="27" xfId="0" applyFont="1" applyFill="1" applyBorder="1"/>
    <xf numFmtId="0" fontId="16" fillId="3" borderId="0" xfId="0" applyFont="1" applyFill="1" applyAlignment="1">
      <alignment horizontal="left" vertical="center" wrapText="1"/>
    </xf>
    <xf numFmtId="0" fontId="16" fillId="3" borderId="0" xfId="0" applyFont="1" applyFill="1" applyAlignment="1">
      <alignment horizontal="left" wrapText="1"/>
    </xf>
    <xf numFmtId="0" fontId="3" fillId="0" borderId="35" xfId="0" applyFont="1" applyBorder="1" applyAlignment="1">
      <alignment horizontal="center" vertical="center" wrapText="1"/>
    </xf>
    <xf numFmtId="0" fontId="37" fillId="0" borderId="0" xfId="0" applyFont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0" fontId="37" fillId="0" borderId="1" xfId="0" applyFont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34" fillId="3" borderId="0" xfId="0" applyFont="1" applyFill="1" applyBorder="1" applyAlignment="1">
      <alignment horizontal="left" vertical="center" wrapText="1"/>
    </xf>
    <xf numFmtId="0" fontId="34" fillId="3" borderId="9" xfId="0" applyFont="1" applyFill="1" applyBorder="1" applyAlignment="1">
      <alignment horizontal="left" vertical="center" wrapText="1"/>
    </xf>
    <xf numFmtId="0" fontId="34" fillId="3" borderId="9" xfId="0" applyFont="1" applyFill="1" applyBorder="1"/>
    <xf numFmtId="0" fontId="16" fillId="3" borderId="0" xfId="0" applyFont="1" applyFill="1" applyBorder="1"/>
    <xf numFmtId="0" fontId="34" fillId="3" borderId="37" xfId="0" applyFont="1" applyFill="1" applyBorder="1" applyAlignment="1">
      <alignment horizontal="left" vertical="center" wrapText="1"/>
    </xf>
    <xf numFmtId="0" fontId="34" fillId="3" borderId="38" xfId="0" applyFont="1" applyFill="1" applyBorder="1"/>
    <xf numFmtId="0" fontId="34" fillId="3" borderId="39" xfId="0" applyFont="1" applyFill="1" applyBorder="1" applyAlignment="1">
      <alignment horizontal="left" vertical="center" wrapText="1"/>
    </xf>
    <xf numFmtId="0" fontId="34" fillId="3" borderId="33" xfId="0" applyFont="1" applyFill="1" applyBorder="1" applyAlignment="1">
      <alignment horizontal="left" vertical="center" wrapText="1"/>
    </xf>
    <xf numFmtId="0" fontId="34" fillId="3" borderId="40" xfId="0" applyFont="1" applyFill="1" applyBorder="1"/>
    <xf numFmtId="0" fontId="34" fillId="3" borderId="1" xfId="0" applyFont="1" applyFill="1" applyBorder="1"/>
    <xf numFmtId="0" fontId="34" fillId="3" borderId="41" xfId="0" applyFont="1" applyFill="1" applyBorder="1"/>
    <xf numFmtId="0" fontId="34" fillId="3" borderId="42" xfId="0" applyFont="1" applyFill="1" applyBorder="1" applyAlignment="1">
      <alignment horizontal="center" vertical="center" wrapText="1"/>
    </xf>
    <xf numFmtId="0" fontId="34" fillId="3" borderId="43" xfId="0" applyFont="1" applyFill="1" applyBorder="1"/>
    <xf numFmtId="0" fontId="34" fillId="3" borderId="44" xfId="0" applyFont="1" applyFill="1" applyBorder="1"/>
    <xf numFmtId="0" fontId="34" fillId="3" borderId="20" xfId="0" applyFont="1" applyFill="1" applyBorder="1"/>
    <xf numFmtId="0" fontId="34" fillId="3" borderId="45" xfId="0" applyFont="1" applyFill="1" applyBorder="1"/>
    <xf numFmtId="0" fontId="29" fillId="3" borderId="43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" xfId="0" applyBorder="1"/>
    <xf numFmtId="0" fontId="0" fillId="0" borderId="9" xfId="0" applyBorder="1"/>
    <xf numFmtId="0" fontId="34" fillId="3" borderId="48" xfId="0" applyFont="1" applyFill="1" applyBorder="1"/>
    <xf numFmtId="0" fontId="34" fillId="3" borderId="49" xfId="0" applyFont="1" applyFill="1" applyBorder="1"/>
    <xf numFmtId="0" fontId="0" fillId="2" borderId="1" xfId="0" applyFill="1" applyBorder="1"/>
    <xf numFmtId="0" fontId="40" fillId="0" borderId="0" xfId="0" applyFont="1" applyFill="1" applyBorder="1" applyAlignment="1">
      <alignment horizontal="center" vertical="center"/>
    </xf>
    <xf numFmtId="0" fontId="0" fillId="0" borderId="0" xfId="0" applyBorder="1"/>
    <xf numFmtId="0" fontId="12" fillId="0" borderId="0" xfId="0" applyFont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0" fillId="5" borderId="0" xfId="0" applyFill="1"/>
    <xf numFmtId="0" fontId="0" fillId="0" borderId="0" xfId="0"/>
    <xf numFmtId="0" fontId="0" fillId="0" borderId="0" xfId="0"/>
    <xf numFmtId="0" fontId="38" fillId="0" borderId="1" xfId="0" applyFont="1" applyBorder="1"/>
    <xf numFmtId="0" fontId="1" fillId="6" borderId="10" xfId="0" applyFont="1" applyFill="1" applyBorder="1" applyAlignment="1">
      <alignment horizontal="left" vertical="center" wrapText="1"/>
    </xf>
    <xf numFmtId="164" fontId="1" fillId="6" borderId="10" xfId="0" applyNumberFormat="1" applyFont="1" applyFill="1" applyBorder="1" applyAlignment="1">
      <alignment horizontal="left" vertical="center" wrapText="1"/>
    </xf>
    <xf numFmtId="0" fontId="13" fillId="6" borderId="11" xfId="0" applyFont="1" applyFill="1" applyBorder="1" applyAlignment="1">
      <alignment vertical="center"/>
    </xf>
    <xf numFmtId="2" fontId="4" fillId="6" borderId="10" xfId="0" applyNumberFormat="1" applyFont="1" applyFill="1" applyBorder="1" applyAlignment="1">
      <alignment horizontal="center" vertical="center" wrapText="1"/>
    </xf>
    <xf numFmtId="2" fontId="1" fillId="6" borderId="10" xfId="0" applyNumberFormat="1" applyFont="1" applyFill="1" applyBorder="1" applyAlignment="1">
      <alignment horizontal="left" vertical="center" wrapText="1"/>
    </xf>
    <xf numFmtId="0" fontId="1" fillId="6" borderId="10" xfId="0" applyNumberFormat="1" applyFont="1" applyFill="1" applyBorder="1" applyAlignment="1">
      <alignment horizontal="right" vertical="center" wrapText="1"/>
    </xf>
    <xf numFmtId="0" fontId="1" fillId="6" borderId="17" xfId="0" applyNumberFormat="1" applyFont="1" applyFill="1" applyBorder="1" applyAlignment="1">
      <alignment horizontal="left" vertical="center" wrapText="1"/>
    </xf>
    <xf numFmtId="0" fontId="29" fillId="6" borderId="11" xfId="0" applyFont="1" applyFill="1" applyBorder="1" applyAlignment="1">
      <alignment vertical="center"/>
    </xf>
    <xf numFmtId="0" fontId="29" fillId="6" borderId="11" xfId="0" applyFont="1" applyFill="1" applyBorder="1" applyAlignment="1"/>
    <xf numFmtId="0" fontId="13" fillId="6" borderId="11" xfId="0" applyFont="1" applyFill="1" applyBorder="1" applyAlignment="1"/>
    <xf numFmtId="0" fontId="1" fillId="6" borderId="10" xfId="0" applyNumberFormat="1" applyFont="1" applyFill="1" applyBorder="1" applyAlignment="1">
      <alignment horizontal="right" wrapText="1"/>
    </xf>
    <xf numFmtId="0" fontId="1" fillId="6" borderId="17" xfId="0" applyNumberFormat="1" applyFont="1" applyFill="1" applyBorder="1" applyAlignment="1">
      <alignment horizontal="left" wrapText="1"/>
    </xf>
    <xf numFmtId="0" fontId="5" fillId="6" borderId="16" xfId="0" applyFont="1" applyFill="1" applyBorder="1" applyAlignment="1">
      <alignment horizontal="center" vertical="center"/>
    </xf>
    <xf numFmtId="0" fontId="5" fillId="6" borderId="17" xfId="0" applyFont="1" applyFill="1" applyBorder="1" applyAlignment="1">
      <alignment horizontal="center" vertical="center"/>
    </xf>
    <xf numFmtId="0" fontId="47" fillId="0" borderId="1" xfId="0" applyFont="1" applyBorder="1"/>
    <xf numFmtId="0" fontId="0" fillId="0" borderId="0" xfId="0"/>
    <xf numFmtId="0" fontId="34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3" fontId="38" fillId="0" borderId="1" xfId="0" applyNumberFormat="1" applyFont="1" applyBorder="1"/>
    <xf numFmtId="3" fontId="38" fillId="0" borderId="1" xfId="0" applyNumberFormat="1" applyFont="1" applyBorder="1" applyAlignment="1">
      <alignment horizontal="center"/>
    </xf>
    <xf numFmtId="0" fontId="0" fillId="0" borderId="0" xfId="0"/>
    <xf numFmtId="0" fontId="38" fillId="0" borderId="1" xfId="0" applyFont="1" applyBorder="1"/>
    <xf numFmtId="0" fontId="38" fillId="0" borderId="1" xfId="0" applyFont="1" applyBorder="1"/>
    <xf numFmtId="2" fontId="38" fillId="0" borderId="1" xfId="0" applyNumberFormat="1" applyFont="1" applyBorder="1" applyAlignment="1">
      <alignment horizontal="right"/>
    </xf>
    <xf numFmtId="0" fontId="6" fillId="6" borderId="1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left" vertical="center" wrapText="1"/>
    </xf>
    <xf numFmtId="164" fontId="1" fillId="6" borderId="1" xfId="0" applyNumberFormat="1" applyFont="1" applyFill="1" applyBorder="1" applyAlignment="1">
      <alignment horizontal="left" vertical="center" wrapText="1"/>
    </xf>
    <xf numFmtId="2" fontId="1" fillId="6" borderId="1" xfId="0" applyNumberFormat="1" applyFont="1" applyFill="1" applyBorder="1" applyAlignment="1">
      <alignment horizontal="left" vertical="center" wrapText="1"/>
    </xf>
    <xf numFmtId="0" fontId="7" fillId="6" borderId="17" xfId="0" applyFont="1" applyFill="1" applyBorder="1" applyAlignment="1">
      <alignment horizontal="right" vertical="center" wrapText="1"/>
    </xf>
    <xf numFmtId="0" fontId="1" fillId="6" borderId="17" xfId="0" applyFont="1" applyFill="1" applyBorder="1" applyAlignment="1">
      <alignment horizontal="left" vertical="center" wrapText="1"/>
    </xf>
    <xf numFmtId="164" fontId="1" fillId="6" borderId="17" xfId="0" applyNumberFormat="1" applyFont="1" applyFill="1" applyBorder="1" applyAlignment="1">
      <alignment horizontal="left" vertical="center" wrapText="1"/>
    </xf>
    <xf numFmtId="0" fontId="5" fillId="6" borderId="10" xfId="0" applyFont="1" applyFill="1" applyBorder="1" applyAlignment="1">
      <alignment horizontal="left" vertical="center" wrapText="1"/>
    </xf>
    <xf numFmtId="0" fontId="5" fillId="6" borderId="10" xfId="0" applyFont="1" applyFill="1" applyBorder="1" applyAlignment="1">
      <alignment horizontal="center" vertical="center"/>
    </xf>
    <xf numFmtId="0" fontId="5" fillId="6" borderId="10" xfId="0" applyFont="1" applyFill="1" applyBorder="1" applyAlignment="1">
      <alignment horizontal="left" vertical="center"/>
    </xf>
    <xf numFmtId="0" fontId="6" fillId="6" borderId="16" xfId="0" applyFont="1" applyFill="1" applyBorder="1" applyAlignment="1">
      <alignment horizontal="left" vertical="center" wrapText="1"/>
    </xf>
    <xf numFmtId="2" fontId="1" fillId="6" borderId="16" xfId="0" applyNumberFormat="1" applyFont="1" applyFill="1" applyBorder="1" applyAlignment="1">
      <alignment horizontal="left" vertical="center" wrapText="1"/>
    </xf>
    <xf numFmtId="0" fontId="26" fillId="6" borderId="17" xfId="0" applyFont="1" applyFill="1" applyBorder="1" applyAlignment="1">
      <alignment horizontal="left" vertical="center" wrapText="1"/>
    </xf>
    <xf numFmtId="0" fontId="4" fillId="6" borderId="17" xfId="0" applyFont="1" applyFill="1" applyBorder="1" applyAlignment="1">
      <alignment horizontal="center" vertical="center" wrapText="1"/>
    </xf>
    <xf numFmtId="2" fontId="4" fillId="6" borderId="17" xfId="0" applyNumberFormat="1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left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11" fillId="6" borderId="10" xfId="0" applyFont="1" applyFill="1" applyBorder="1" applyAlignment="1">
      <alignment horizontal="left" vertical="center" wrapText="1"/>
    </xf>
    <xf numFmtId="0" fontId="26" fillId="6" borderId="10" xfId="0" applyFont="1" applyFill="1" applyBorder="1" applyAlignment="1">
      <alignment horizontal="left" vertical="center" wrapText="1"/>
    </xf>
    <xf numFmtId="49" fontId="10" fillId="6" borderId="10" xfId="0" applyNumberFormat="1" applyFont="1" applyFill="1" applyBorder="1" applyAlignment="1">
      <alignment horizontal="left" vertical="center" wrapText="1"/>
    </xf>
    <xf numFmtId="0" fontId="8" fillId="6" borderId="10" xfId="0" applyFont="1" applyFill="1" applyBorder="1" applyAlignment="1">
      <alignment horizontal="left" vertical="center" wrapText="1"/>
    </xf>
    <xf numFmtId="0" fontId="9" fillId="6" borderId="10" xfId="0" applyFont="1" applyFill="1" applyBorder="1" applyAlignment="1">
      <alignment horizontal="center" vertical="center"/>
    </xf>
    <xf numFmtId="2" fontId="1" fillId="6" borderId="18" xfId="0" applyNumberFormat="1" applyFont="1" applyFill="1" applyBorder="1" applyAlignment="1">
      <alignment horizontal="left" vertical="center" wrapText="1"/>
    </xf>
    <xf numFmtId="0" fontId="10" fillId="6" borderId="10" xfId="0" applyFont="1" applyFill="1" applyBorder="1" applyAlignment="1">
      <alignment horizontal="left" vertical="center" wrapText="1"/>
    </xf>
    <xf numFmtId="0" fontId="1" fillId="6" borderId="10" xfId="0" applyNumberFormat="1" applyFont="1" applyFill="1" applyBorder="1" applyAlignment="1">
      <alignment horizontal="left" vertical="center" wrapText="1"/>
    </xf>
    <xf numFmtId="0" fontId="1" fillId="6" borderId="18" xfId="0" applyFont="1" applyFill="1" applyBorder="1" applyAlignment="1">
      <alignment horizontal="left" vertical="center" wrapText="1"/>
    </xf>
    <xf numFmtId="0" fontId="1" fillId="6" borderId="16" xfId="0" applyFont="1" applyFill="1" applyBorder="1" applyAlignment="1">
      <alignment horizontal="left" vertical="center" wrapText="1"/>
    </xf>
    <xf numFmtId="0" fontId="1" fillId="6" borderId="1" xfId="0" applyFont="1" applyFill="1" applyBorder="1" applyAlignment="1">
      <alignment horizontal="left"/>
    </xf>
    <xf numFmtId="0" fontId="35" fillId="6" borderId="10" xfId="0" applyFont="1" applyFill="1" applyBorder="1" applyAlignment="1">
      <alignment horizontal="left" vertical="center" wrapText="1"/>
    </xf>
    <xf numFmtId="164" fontId="1" fillId="6" borderId="16" xfId="0" applyNumberFormat="1" applyFont="1" applyFill="1" applyBorder="1" applyAlignment="1">
      <alignment horizontal="left" vertical="center" wrapText="1"/>
    </xf>
    <xf numFmtId="0" fontId="6" fillId="6" borderId="17" xfId="0" applyFont="1" applyFill="1" applyBorder="1" applyAlignment="1">
      <alignment horizontal="left" vertical="center" wrapText="1"/>
    </xf>
    <xf numFmtId="2" fontId="1" fillId="6" borderId="17" xfId="0" applyNumberFormat="1" applyFont="1" applyFill="1" applyBorder="1" applyAlignment="1">
      <alignment horizontal="left" vertical="center" wrapText="1"/>
    </xf>
    <xf numFmtId="2" fontId="1" fillId="6" borderId="36" xfId="0" applyNumberFormat="1" applyFont="1" applyFill="1" applyBorder="1" applyAlignment="1">
      <alignment horizontal="left" vertical="center" wrapText="1"/>
    </xf>
    <xf numFmtId="0" fontId="6" fillId="6" borderId="10" xfId="0" applyFont="1" applyFill="1" applyBorder="1" applyAlignment="1">
      <alignment horizontal="left" vertical="center" wrapText="1"/>
    </xf>
    <xf numFmtId="0" fontId="5" fillId="6" borderId="10" xfId="0" applyFont="1" applyFill="1" applyBorder="1" applyAlignment="1">
      <alignment horizontal="left" wrapText="1"/>
    </xf>
    <xf numFmtId="2" fontId="1" fillId="6" borderId="10" xfId="0" applyNumberFormat="1" applyFont="1" applyFill="1" applyBorder="1" applyAlignment="1">
      <alignment horizontal="right" vertical="center" wrapText="1"/>
    </xf>
    <xf numFmtId="0" fontId="5" fillId="6" borderId="10" xfId="0" applyFont="1" applyFill="1" applyBorder="1" applyAlignment="1">
      <alignment horizontal="left"/>
    </xf>
    <xf numFmtId="0" fontId="7" fillId="6" borderId="10" xfId="0" applyFont="1" applyFill="1" applyBorder="1" applyAlignment="1">
      <alignment horizontal="left" wrapText="1"/>
    </xf>
    <xf numFmtId="0" fontId="7" fillId="6" borderId="10" xfId="0" applyFont="1" applyFill="1" applyBorder="1" applyAlignment="1">
      <alignment horizontal="right" wrapText="1"/>
    </xf>
    <xf numFmtId="0" fontId="5" fillId="6" borderId="10" xfId="0" applyFont="1" applyFill="1" applyBorder="1" applyAlignment="1">
      <alignment horizontal="center"/>
    </xf>
    <xf numFmtId="0" fontId="5" fillId="6" borderId="10" xfId="0" applyFont="1" applyFill="1" applyBorder="1" applyAlignment="1">
      <alignment horizontal="justify" wrapText="1"/>
    </xf>
    <xf numFmtId="0" fontId="5" fillId="6" borderId="10" xfId="0" applyFont="1" applyFill="1" applyBorder="1" applyAlignment="1">
      <alignment horizontal="justify" vertical="center" wrapText="1"/>
    </xf>
    <xf numFmtId="0" fontId="5" fillId="6" borderId="10" xfId="0" applyFont="1" applyFill="1" applyBorder="1" applyAlignment="1">
      <alignment horizontal="justify"/>
    </xf>
    <xf numFmtId="1" fontId="1" fillId="6" borderId="10" xfId="0" applyNumberFormat="1" applyFont="1" applyFill="1" applyBorder="1" applyAlignment="1">
      <alignment horizontal="left" vertical="center" wrapText="1"/>
    </xf>
    <xf numFmtId="1" fontId="1" fillId="6" borderId="18" xfId="0" applyNumberFormat="1" applyFont="1" applyFill="1" applyBorder="1" applyAlignment="1">
      <alignment horizontal="left" vertical="center" wrapText="1"/>
    </xf>
    <xf numFmtId="0" fontId="6" fillId="6" borderId="10" xfId="0" applyFont="1" applyFill="1" applyBorder="1" applyAlignment="1">
      <alignment vertical="center" wrapText="1"/>
    </xf>
    <xf numFmtId="0" fontId="7" fillId="6" borderId="10" xfId="0" applyFont="1" applyFill="1" applyBorder="1" applyAlignment="1">
      <alignment vertical="center" wrapText="1"/>
    </xf>
    <xf numFmtId="0" fontId="28" fillId="6" borderId="10" xfId="0" applyFont="1" applyFill="1" applyBorder="1" applyAlignment="1">
      <alignment vertical="center" wrapText="1"/>
    </xf>
    <xf numFmtId="0" fontId="30" fillId="6" borderId="16" xfId="0" applyFont="1" applyFill="1" applyBorder="1" applyAlignment="1">
      <alignment horizontal="justify" vertical="center" wrapText="1"/>
    </xf>
    <xf numFmtId="0" fontId="35" fillId="6" borderId="46" xfId="0" applyFont="1" applyFill="1" applyBorder="1" applyAlignment="1">
      <alignment horizontal="left" vertical="center" wrapText="1"/>
    </xf>
    <xf numFmtId="165" fontId="1" fillId="6" borderId="46" xfId="0" applyNumberFormat="1" applyFont="1" applyFill="1" applyBorder="1" applyAlignment="1">
      <alignment horizontal="left" vertical="center" wrapText="1"/>
    </xf>
    <xf numFmtId="0" fontId="1" fillId="6" borderId="46" xfId="0" applyFont="1" applyFill="1" applyBorder="1" applyAlignment="1">
      <alignment horizontal="left" vertical="center" wrapText="1"/>
    </xf>
    <xf numFmtId="165" fontId="1" fillId="6" borderId="10" xfId="0" applyNumberFormat="1" applyFont="1" applyFill="1" applyBorder="1" applyAlignment="1">
      <alignment horizontal="left" vertical="center" wrapText="1"/>
    </xf>
    <xf numFmtId="0" fontId="30" fillId="6" borderId="10" xfId="0" applyFont="1" applyFill="1" applyBorder="1" applyAlignment="1">
      <alignment vertical="center" wrapText="1"/>
    </xf>
    <xf numFmtId="0" fontId="32" fillId="6" borderId="10" xfId="0" applyFont="1" applyFill="1" applyBorder="1" applyAlignment="1">
      <alignment horizontal="right" vertical="center" wrapText="1"/>
    </xf>
    <xf numFmtId="0" fontId="32" fillId="6" borderId="10" xfId="0" applyFont="1" applyFill="1" applyBorder="1" applyAlignment="1">
      <alignment vertical="center" wrapText="1"/>
    </xf>
    <xf numFmtId="165" fontId="1" fillId="6" borderId="16" xfId="0" applyNumberFormat="1" applyFont="1" applyFill="1" applyBorder="1" applyAlignment="1">
      <alignment horizontal="left" vertical="center" wrapText="1"/>
    </xf>
    <xf numFmtId="0" fontId="32" fillId="6" borderId="47" xfId="0" applyFont="1" applyFill="1" applyBorder="1" applyAlignment="1">
      <alignment vertical="center" wrapText="1"/>
    </xf>
    <xf numFmtId="0" fontId="5" fillId="6" borderId="47" xfId="0" applyFont="1" applyFill="1" applyBorder="1" applyAlignment="1">
      <alignment horizontal="center" vertical="center"/>
    </xf>
    <xf numFmtId="165" fontId="1" fillId="6" borderId="47" xfId="0" applyNumberFormat="1" applyFont="1" applyFill="1" applyBorder="1" applyAlignment="1">
      <alignment horizontal="left" vertical="center" wrapText="1"/>
    </xf>
    <xf numFmtId="0" fontId="22" fillId="6" borderId="3" xfId="0" applyFont="1" applyFill="1" applyBorder="1" applyAlignment="1">
      <alignment wrapText="1"/>
    </xf>
    <xf numFmtId="0" fontId="19" fillId="6" borderId="3" xfId="0" applyFont="1" applyFill="1" applyBorder="1" applyAlignment="1">
      <alignment horizontal="center" vertical="center"/>
    </xf>
    <xf numFmtId="0" fontId="19" fillId="6" borderId="3" xfId="0" applyFont="1" applyFill="1" applyBorder="1" applyAlignment="1">
      <alignment horizontal="center"/>
    </xf>
    <xf numFmtId="0" fontId="19" fillId="6" borderId="3" xfId="0" applyFont="1" applyFill="1" applyBorder="1" applyAlignment="1">
      <alignment horizontal="center" vertical="center" wrapText="1"/>
    </xf>
    <xf numFmtId="0" fontId="23" fillId="6" borderId="3" xfId="0" applyFont="1" applyFill="1" applyBorder="1"/>
    <xf numFmtId="0" fontId="19" fillId="6" borderId="3" xfId="0" applyFont="1" applyFill="1" applyBorder="1" applyAlignment="1">
      <alignment wrapText="1"/>
    </xf>
    <xf numFmtId="2" fontId="23" fillId="6" borderId="3" xfId="0" applyNumberFormat="1" applyFont="1" applyFill="1" applyBorder="1"/>
    <xf numFmtId="0" fontId="22" fillId="6" borderId="6" xfId="0" applyFont="1" applyFill="1" applyBorder="1" applyAlignment="1">
      <alignment wrapText="1"/>
    </xf>
    <xf numFmtId="0" fontId="19" fillId="6" borderId="15" xfId="0" applyFont="1" applyFill="1" applyBorder="1" applyAlignment="1">
      <alignment horizontal="center" vertical="center"/>
    </xf>
    <xf numFmtId="0" fontId="19" fillId="6" borderId="5" xfId="0" applyFont="1" applyFill="1" applyBorder="1" applyAlignment="1">
      <alignment horizontal="center"/>
    </xf>
    <xf numFmtId="0" fontId="19" fillId="6" borderId="5" xfId="0" applyFont="1" applyFill="1" applyBorder="1" applyAlignment="1">
      <alignment horizontal="center" vertical="center" wrapText="1"/>
    </xf>
    <xf numFmtId="0" fontId="23" fillId="6" borderId="5" xfId="0" applyFont="1" applyFill="1" applyBorder="1"/>
    <xf numFmtId="0" fontId="22" fillId="6" borderId="2" xfId="0" applyFont="1" applyFill="1" applyBorder="1" applyAlignment="1">
      <alignment vertical="top" wrapText="1"/>
    </xf>
    <xf numFmtId="0" fontId="19" fillId="6" borderId="2" xfId="0" applyFont="1" applyFill="1" applyBorder="1" applyAlignment="1">
      <alignment horizontal="center" vertical="center"/>
    </xf>
    <xf numFmtId="0" fontId="19" fillId="6" borderId="2" xfId="0" applyFont="1" applyFill="1" applyBorder="1" applyAlignment="1">
      <alignment horizontal="center"/>
    </xf>
    <xf numFmtId="0" fontId="19" fillId="6" borderId="2" xfId="0" applyFont="1" applyFill="1" applyBorder="1" applyAlignment="1">
      <alignment horizontal="center" vertical="center" wrapText="1"/>
    </xf>
    <xf numFmtId="0" fontId="23" fillId="6" borderId="2" xfId="0" applyFont="1" applyFill="1" applyBorder="1"/>
    <xf numFmtId="0" fontId="22" fillId="6" borderId="3" xfId="0" applyFont="1" applyFill="1" applyBorder="1" applyAlignment="1">
      <alignment vertical="top" wrapText="1"/>
    </xf>
    <xf numFmtId="0" fontId="20" fillId="6" borderId="5" xfId="0" applyFont="1" applyFill="1" applyBorder="1" applyAlignment="1">
      <alignment wrapText="1"/>
    </xf>
    <xf numFmtId="0" fontId="19" fillId="6" borderId="5" xfId="0" applyFont="1" applyFill="1" applyBorder="1" applyAlignment="1">
      <alignment horizontal="center" vertical="center"/>
    </xf>
    <xf numFmtId="2" fontId="23" fillId="6" borderId="5" xfId="0" applyNumberFormat="1" applyFont="1" applyFill="1" applyBorder="1"/>
    <xf numFmtId="0" fontId="19" fillId="6" borderId="3" xfId="0" applyFont="1" applyFill="1" applyBorder="1" applyAlignment="1">
      <alignment vertical="center" wrapText="1"/>
    </xf>
    <xf numFmtId="0" fontId="19" fillId="6" borderId="4" xfId="0" applyFont="1" applyFill="1" applyBorder="1" applyAlignment="1">
      <alignment wrapText="1"/>
    </xf>
    <xf numFmtId="0" fontId="19" fillId="6" borderId="4" xfId="0" applyFont="1" applyFill="1" applyBorder="1" applyAlignment="1">
      <alignment horizontal="center" vertical="center"/>
    </xf>
    <xf numFmtId="0" fontId="19" fillId="6" borderId="4" xfId="0" applyFont="1" applyFill="1" applyBorder="1" applyAlignment="1">
      <alignment horizontal="center"/>
    </xf>
    <xf numFmtId="0" fontId="19" fillId="6" borderId="4" xfId="0" applyFont="1" applyFill="1" applyBorder="1" applyAlignment="1">
      <alignment horizontal="center" vertical="center" wrapText="1"/>
    </xf>
    <xf numFmtId="0" fontId="23" fillId="6" borderId="4" xfId="0" applyFont="1" applyFill="1" applyBorder="1"/>
    <xf numFmtId="0" fontId="22" fillId="6" borderId="19" xfId="0" applyFont="1" applyFill="1" applyBorder="1" applyAlignment="1">
      <alignment wrapText="1"/>
    </xf>
    <xf numFmtId="0" fontId="19" fillId="6" borderId="19" xfId="0" applyFont="1" applyFill="1" applyBorder="1" applyAlignment="1">
      <alignment horizontal="center" vertical="center"/>
    </xf>
    <xf numFmtId="0" fontId="19" fillId="6" borderId="19" xfId="0" applyFont="1" applyFill="1" applyBorder="1" applyAlignment="1">
      <alignment horizontal="center"/>
    </xf>
    <xf numFmtId="0" fontId="19" fillId="6" borderId="19" xfId="0" applyFont="1" applyFill="1" applyBorder="1" applyAlignment="1">
      <alignment horizontal="center" vertical="center" wrapText="1"/>
    </xf>
    <xf numFmtId="0" fontId="23" fillId="6" borderId="19" xfId="0" applyFont="1" applyFill="1" applyBorder="1"/>
    <xf numFmtId="2" fontId="23" fillId="6" borderId="19" xfId="0" applyNumberFormat="1" applyFont="1" applyFill="1" applyBorder="1"/>
    <xf numFmtId="0" fontId="20" fillId="6" borderId="5" xfId="0" applyFont="1" applyFill="1" applyBorder="1" applyAlignment="1">
      <alignment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29" fillId="6" borderId="1" xfId="0" applyFont="1" applyFill="1" applyBorder="1" applyAlignment="1">
      <alignment vertical="center" wrapText="1"/>
    </xf>
    <xf numFmtId="0" fontId="31" fillId="6" borderId="1" xfId="0" applyFont="1" applyFill="1" applyBorder="1" applyAlignment="1">
      <alignment horizontal="left" vertical="center" wrapText="1"/>
    </xf>
    <xf numFmtId="0" fontId="31" fillId="6" borderId="1" xfId="0" applyFont="1" applyFill="1" applyBorder="1" applyAlignment="1">
      <alignment horizontal="center" vertical="center" wrapText="1"/>
    </xf>
    <xf numFmtId="0" fontId="31" fillId="6" borderId="1" xfId="0" applyFont="1" applyFill="1" applyBorder="1" applyAlignment="1">
      <alignment vertical="center"/>
    </xf>
    <xf numFmtId="0" fontId="0" fillId="6" borderId="1" xfId="0" applyFill="1" applyBorder="1"/>
    <xf numFmtId="0" fontId="31" fillId="6" borderId="20" xfId="0" applyFont="1" applyFill="1" applyBorder="1" applyAlignment="1">
      <alignment vertical="center" wrapText="1"/>
    </xf>
    <xf numFmtId="0" fontId="29" fillId="6" borderId="1" xfId="0" applyFont="1" applyFill="1" applyBorder="1" applyAlignment="1">
      <alignment horizontal="center" vertical="center"/>
    </xf>
    <xf numFmtId="0" fontId="44" fillId="6" borderId="1" xfId="0" applyFont="1" applyFill="1" applyBorder="1"/>
    <xf numFmtId="0" fontId="42" fillId="6" borderId="1" xfId="0" applyFont="1" applyFill="1" applyBorder="1" applyAlignment="1">
      <alignment horizontal="left" vertical="center" wrapText="1"/>
    </xf>
    <xf numFmtId="0" fontId="42" fillId="6" borderId="1" xfId="0" applyFont="1" applyFill="1" applyBorder="1" applyAlignment="1">
      <alignment horizontal="left" vertical="top" wrapText="1"/>
    </xf>
    <xf numFmtId="0" fontId="31" fillId="6" borderId="1" xfId="0" applyFont="1" applyFill="1" applyBorder="1" applyAlignment="1">
      <alignment horizontal="center" vertical="top" wrapText="1"/>
    </xf>
    <xf numFmtId="0" fontId="35" fillId="6" borderId="1" xfId="0" applyFont="1" applyFill="1" applyBorder="1" applyAlignment="1">
      <alignment wrapText="1"/>
    </xf>
    <xf numFmtId="2" fontId="12" fillId="6" borderId="1" xfId="1" applyNumberFormat="1" applyFont="1" applyFill="1" applyBorder="1" applyAlignment="1">
      <alignment horizontal="center" wrapText="1"/>
    </xf>
    <xf numFmtId="2" fontId="12" fillId="6" borderId="1" xfId="0" applyNumberFormat="1" applyFont="1" applyFill="1" applyBorder="1" applyAlignment="1">
      <alignment horizontal="left" wrapText="1"/>
    </xf>
    <xf numFmtId="2" fontId="12" fillId="6" borderId="22" xfId="1" applyNumberFormat="1" applyFont="1" applyFill="1" applyBorder="1" applyAlignment="1">
      <alignment horizontal="center" wrapText="1"/>
    </xf>
    <xf numFmtId="2" fontId="44" fillId="6" borderId="1" xfId="0" applyNumberFormat="1" applyFont="1" applyFill="1" applyBorder="1"/>
    <xf numFmtId="0" fontId="1" fillId="0" borderId="10" xfId="0" applyFont="1" applyBorder="1" applyAlignment="1">
      <alignment horizontal="left" vertical="center" wrapText="1"/>
    </xf>
    <xf numFmtId="164" fontId="1" fillId="0" borderId="10" xfId="0" applyNumberFormat="1" applyFont="1" applyBorder="1" applyAlignment="1">
      <alignment horizontal="left" vertical="center" wrapText="1"/>
    </xf>
    <xf numFmtId="0" fontId="29" fillId="0" borderId="1" xfId="0" applyFont="1" applyBorder="1" applyAlignment="1">
      <alignment horizontal="right"/>
    </xf>
    <xf numFmtId="0" fontId="16" fillId="0" borderId="1" xfId="0" applyFont="1" applyBorder="1" applyAlignment="1">
      <alignment horizontal="right"/>
    </xf>
    <xf numFmtId="0" fontId="34" fillId="0" borderId="1" xfId="1" applyFont="1" applyFill="1" applyBorder="1" applyAlignment="1">
      <alignment horizontal="right"/>
    </xf>
    <xf numFmtId="0" fontId="34" fillId="3" borderId="1" xfId="1" applyFont="1" applyFill="1" applyBorder="1" applyAlignment="1">
      <alignment horizontal="right"/>
    </xf>
    <xf numFmtId="0" fontId="34" fillId="0" borderId="1" xfId="0" applyFont="1" applyBorder="1" applyAlignment="1">
      <alignment horizontal="right"/>
    </xf>
    <xf numFmtId="0" fontId="45" fillId="0" borderId="1" xfId="0" applyFont="1" applyBorder="1" applyAlignment="1">
      <alignment horizontal="center" vertical="center" wrapText="1"/>
    </xf>
    <xf numFmtId="0" fontId="34" fillId="3" borderId="20" xfId="1" applyFont="1" applyFill="1" applyBorder="1" applyAlignment="1">
      <alignment horizontal="right"/>
    </xf>
    <xf numFmtId="0" fontId="47" fillId="0" borderId="1" xfId="0" applyFont="1" applyBorder="1" applyAlignment="1">
      <alignment wrapText="1"/>
    </xf>
    <xf numFmtId="0" fontId="47" fillId="0" borderId="1" xfId="0" applyFont="1" applyBorder="1" applyAlignment="1"/>
    <xf numFmtId="0" fontId="34" fillId="3" borderId="45" xfId="1" applyFont="1" applyFill="1" applyBorder="1" applyAlignment="1">
      <alignment horizontal="right"/>
    </xf>
    <xf numFmtId="0" fontId="34" fillId="3" borderId="41" xfId="1" applyFont="1" applyFill="1" applyBorder="1" applyAlignment="1">
      <alignment horizontal="right"/>
    </xf>
    <xf numFmtId="0" fontId="29" fillId="3" borderId="1" xfId="1" applyFont="1" applyFill="1" applyBorder="1" applyAlignment="1">
      <alignment horizontal="right"/>
    </xf>
    <xf numFmtId="0" fontId="47" fillId="0" borderId="1" xfId="0" applyFont="1" applyBorder="1" applyAlignment="1">
      <alignment horizontal="center" wrapText="1"/>
    </xf>
    <xf numFmtId="0" fontId="34" fillId="3" borderId="20" xfId="1" applyFont="1" applyFill="1" applyBorder="1"/>
    <xf numFmtId="164" fontId="34" fillId="3" borderId="20" xfId="1" applyNumberFormat="1" applyFont="1" applyFill="1" applyBorder="1"/>
    <xf numFmtId="0" fontId="34" fillId="3" borderId="1" xfId="1" applyFont="1" applyFill="1" applyBorder="1"/>
    <xf numFmtId="164" fontId="34" fillId="3" borderId="1" xfId="1" applyNumberFormat="1" applyFont="1" applyFill="1" applyBorder="1"/>
    <xf numFmtId="0" fontId="34" fillId="0" borderId="21" xfId="1" applyFont="1" applyFill="1" applyBorder="1" applyAlignment="1">
      <alignment horizontal="right"/>
    </xf>
    <xf numFmtId="0" fontId="34" fillId="3" borderId="21" xfId="1" applyFont="1" applyFill="1" applyBorder="1" applyAlignment="1">
      <alignment horizontal="right"/>
    </xf>
    <xf numFmtId="0" fontId="34" fillId="0" borderId="1" xfId="0" applyFont="1" applyBorder="1" applyAlignment="1">
      <alignment vertical="center"/>
    </xf>
    <xf numFmtId="0" fontId="16" fillId="0" borderId="51" xfId="0" applyFont="1" applyBorder="1" applyAlignment="1">
      <alignment horizontal="right"/>
    </xf>
    <xf numFmtId="0" fontId="34" fillId="0" borderId="51" xfId="0" applyFont="1" applyBorder="1" applyAlignment="1">
      <alignment horizontal="right"/>
    </xf>
    <xf numFmtId="0" fontId="34" fillId="0" borderId="1" xfId="1" applyFont="1" applyFill="1" applyBorder="1" applyAlignment="1">
      <alignment horizontal="right" vertical="top"/>
    </xf>
    <xf numFmtId="0" fontId="34" fillId="0" borderId="20" xfId="1" applyFont="1" applyFill="1" applyBorder="1"/>
    <xf numFmtId="0" fontId="34" fillId="0" borderId="1" xfId="1" applyFont="1" applyFill="1" applyBorder="1"/>
    <xf numFmtId="3" fontId="47" fillId="0" borderId="1" xfId="0" applyNumberFormat="1" applyFont="1" applyBorder="1" applyAlignment="1">
      <alignment horizontal="center" wrapText="1"/>
    </xf>
    <xf numFmtId="0" fontId="34" fillId="0" borderId="45" xfId="1" applyFont="1" applyFill="1" applyBorder="1"/>
    <xf numFmtId="0" fontId="34" fillId="0" borderId="41" xfId="1" applyFont="1" applyFill="1" applyBorder="1"/>
    <xf numFmtId="0" fontId="4" fillId="0" borderId="53" xfId="0" applyFont="1" applyBorder="1" applyAlignment="1">
      <alignment horizontal="center" vertical="center" wrapText="1"/>
    </xf>
    <xf numFmtId="0" fontId="4" fillId="0" borderId="5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1" fillId="0" borderId="0" xfId="0" applyFont="1" applyFill="1" applyAlignment="1">
      <alignment horizontal="justify" vertical="top" wrapText="1"/>
    </xf>
    <xf numFmtId="0" fontId="5" fillId="0" borderId="0" xfId="0" applyFont="1" applyFill="1" applyBorder="1" applyAlignment="1">
      <alignment horizontal="left" vertical="center" wrapText="1"/>
    </xf>
    <xf numFmtId="0" fontId="4" fillId="6" borderId="35" xfId="0" applyFont="1" applyFill="1" applyBorder="1" applyAlignment="1">
      <alignment horizontal="center" vertical="center" wrapText="1"/>
    </xf>
    <xf numFmtId="0" fontId="4" fillId="6" borderId="50" xfId="0" applyFont="1" applyFill="1" applyBorder="1" applyAlignment="1">
      <alignment horizontal="center" vertical="center" wrapText="1"/>
    </xf>
    <xf numFmtId="0" fontId="4" fillId="6" borderId="51" xfId="0" applyFont="1" applyFill="1" applyBorder="1" applyAlignment="1">
      <alignment horizontal="center" vertical="center" wrapText="1"/>
    </xf>
    <xf numFmtId="0" fontId="5" fillId="6" borderId="16" xfId="0" applyFont="1" applyFill="1" applyBorder="1" applyAlignment="1">
      <alignment horizontal="left" wrapText="1"/>
    </xf>
    <xf numFmtId="0" fontId="5" fillId="6" borderId="17" xfId="0" applyFont="1" applyFill="1" applyBorder="1" applyAlignment="1">
      <alignment horizontal="left" wrapText="1"/>
    </xf>
    <xf numFmtId="0" fontId="5" fillId="6" borderId="16" xfId="0" applyFont="1" applyFill="1" applyBorder="1" applyAlignment="1">
      <alignment horizontal="center" vertical="center"/>
    </xf>
    <xf numFmtId="0" fontId="5" fillId="6" borderId="17" xfId="0" applyFont="1" applyFill="1" applyBorder="1" applyAlignment="1">
      <alignment horizontal="center" vertical="center"/>
    </xf>
    <xf numFmtId="1" fontId="1" fillId="6" borderId="16" xfId="0" applyNumberFormat="1" applyFont="1" applyFill="1" applyBorder="1" applyAlignment="1">
      <alignment horizontal="left" vertical="center" wrapText="1"/>
    </xf>
    <xf numFmtId="1" fontId="1" fillId="6" borderId="17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3" fillId="0" borderId="5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27" fillId="4" borderId="0" xfId="0" applyFont="1" applyFill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5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51" xfId="0" applyFont="1" applyBorder="1" applyAlignment="1">
      <alignment horizontal="center" vertical="center" wrapText="1"/>
    </xf>
    <xf numFmtId="0" fontId="3" fillId="0" borderId="5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0" fillId="0" borderId="0" xfId="0" applyAlignment="1"/>
    <xf numFmtId="0" fontId="20" fillId="6" borderId="55" xfId="0" applyFont="1" applyFill="1" applyBorder="1" applyAlignment="1">
      <alignment horizontal="center" vertical="justify" wrapText="1"/>
    </xf>
    <xf numFmtId="0" fontId="20" fillId="6" borderId="54" xfId="0" applyFont="1" applyFill="1" applyBorder="1" applyAlignment="1">
      <alignment horizontal="center" vertical="justify" wrapText="1"/>
    </xf>
    <xf numFmtId="0" fontId="0" fillId="6" borderId="54" xfId="0" applyFill="1" applyBorder="1" applyAlignment="1"/>
    <xf numFmtId="0" fontId="22" fillId="0" borderId="54" xfId="0" applyFont="1" applyBorder="1" applyAlignment="1">
      <alignment vertical="center" wrapText="1"/>
    </xf>
    <xf numFmtId="0" fontId="19" fillId="0" borderId="7" xfId="0" applyFont="1" applyFill="1" applyBorder="1"/>
    <xf numFmtId="0" fontId="19" fillId="0" borderId="0" xfId="0" applyFont="1" applyFill="1" applyBorder="1"/>
    <xf numFmtId="0" fontId="20" fillId="6" borderId="7" xfId="0" applyFont="1" applyFill="1" applyBorder="1" applyAlignment="1">
      <alignment horizontal="center" vertical="center" wrapText="1"/>
    </xf>
    <xf numFmtId="0" fontId="20" fillId="6" borderId="0" xfId="0" applyFont="1" applyFill="1" applyBorder="1" applyAlignment="1">
      <alignment horizontal="center" vertical="center" wrapText="1"/>
    </xf>
    <xf numFmtId="0" fontId="0" fillId="6" borderId="0" xfId="0" applyFill="1" applyAlignment="1"/>
    <xf numFmtId="0" fontId="33" fillId="0" borderId="0" xfId="0" applyFont="1" applyFill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20" fillId="0" borderId="7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/>
    </xf>
    <xf numFmtId="0" fontId="19" fillId="0" borderId="35" xfId="0" applyFont="1" applyBorder="1" applyAlignment="1">
      <alignment horizontal="center" vertical="center" wrapText="1"/>
    </xf>
    <xf numFmtId="0" fontId="19" fillId="0" borderId="50" xfId="0" applyFont="1" applyBorder="1" applyAlignment="1">
      <alignment horizontal="center" vertical="center" wrapText="1"/>
    </xf>
    <xf numFmtId="0" fontId="0" fillId="0" borderId="51" xfId="0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0" fillId="0" borderId="1" xfId="0" applyBorder="1" applyAlignment="1"/>
    <xf numFmtId="0" fontId="20" fillId="0" borderId="55" xfId="0" applyFont="1" applyBorder="1" applyAlignment="1">
      <alignment horizontal="left"/>
    </xf>
    <xf numFmtId="0" fontId="20" fillId="0" borderId="54" xfId="0" applyFont="1" applyBorder="1" applyAlignment="1">
      <alignment horizontal="left"/>
    </xf>
    <xf numFmtId="0" fontId="0" fillId="0" borderId="54" xfId="0" applyBorder="1" applyAlignment="1"/>
    <xf numFmtId="0" fontId="29" fillId="3" borderId="85" xfId="0" applyFont="1" applyFill="1" applyBorder="1" applyAlignment="1">
      <alignment horizontal="center" vertical="center" wrapText="1"/>
    </xf>
    <xf numFmtId="0" fontId="29" fillId="3" borderId="86" xfId="0" applyFont="1" applyFill="1" applyBorder="1" applyAlignment="1">
      <alignment horizontal="center" vertical="center" wrapText="1"/>
    </xf>
    <xf numFmtId="0" fontId="29" fillId="3" borderId="87" xfId="0" applyFont="1" applyFill="1" applyBorder="1" applyAlignment="1">
      <alignment horizontal="center" vertical="center" wrapText="1"/>
    </xf>
    <xf numFmtId="0" fontId="29" fillId="3" borderId="80" xfId="0" applyFont="1" applyFill="1" applyBorder="1" applyAlignment="1">
      <alignment horizontal="center" vertical="center" wrapText="1"/>
    </xf>
    <xf numFmtId="0" fontId="29" fillId="3" borderId="76" xfId="0" applyFont="1" applyFill="1" applyBorder="1" applyAlignment="1">
      <alignment horizontal="center" vertical="center" wrapText="1"/>
    </xf>
    <xf numFmtId="0" fontId="29" fillId="3" borderId="81" xfId="0" applyFont="1" applyFill="1" applyBorder="1" applyAlignment="1">
      <alignment horizontal="center" vertical="center" wrapText="1"/>
    </xf>
    <xf numFmtId="0" fontId="29" fillId="3" borderId="73" xfId="0" applyFont="1" applyFill="1" applyBorder="1" applyAlignment="1">
      <alignment horizontal="center" vertical="center" wrapText="1"/>
    </xf>
    <xf numFmtId="0" fontId="29" fillId="3" borderId="68" xfId="0" applyFont="1" applyFill="1" applyBorder="1" applyAlignment="1">
      <alignment horizontal="center" vertical="center" wrapText="1"/>
    </xf>
    <xf numFmtId="0" fontId="29" fillId="3" borderId="69" xfId="0" applyFont="1" applyFill="1" applyBorder="1" applyAlignment="1">
      <alignment horizontal="center" vertical="center" wrapText="1"/>
    </xf>
    <xf numFmtId="0" fontId="29" fillId="3" borderId="21" xfId="0" applyFont="1" applyFill="1" applyBorder="1" applyAlignment="1">
      <alignment horizontal="center" vertical="center" wrapText="1"/>
    </xf>
    <xf numFmtId="0" fontId="29" fillId="3" borderId="66" xfId="0" applyFont="1" applyFill="1" applyBorder="1" applyAlignment="1">
      <alignment horizontal="center" vertical="center" wrapText="1"/>
    </xf>
    <xf numFmtId="0" fontId="29" fillId="3" borderId="75" xfId="0" applyFont="1" applyFill="1" applyBorder="1" applyAlignment="1">
      <alignment horizontal="center" vertical="center" wrapText="1"/>
    </xf>
    <xf numFmtId="0" fontId="29" fillId="3" borderId="23" xfId="0" applyFont="1" applyFill="1" applyBorder="1" applyAlignment="1">
      <alignment horizontal="center" vertical="center" wrapText="1"/>
    </xf>
    <xf numFmtId="0" fontId="29" fillId="3" borderId="88" xfId="0" applyFont="1" applyFill="1" applyBorder="1" applyAlignment="1">
      <alignment horizontal="center" vertical="center" wrapText="1"/>
    </xf>
    <xf numFmtId="0" fontId="29" fillId="3" borderId="57" xfId="0" applyFont="1" applyFill="1" applyBorder="1" applyAlignment="1">
      <alignment horizontal="center" vertical="center" wrapText="1"/>
    </xf>
    <xf numFmtId="0" fontId="29" fillId="3" borderId="82" xfId="0" applyFont="1" applyFill="1" applyBorder="1" applyAlignment="1">
      <alignment horizontal="center" vertical="center" wrapText="1"/>
    </xf>
    <xf numFmtId="0" fontId="29" fillId="3" borderId="51" xfId="0" applyFont="1" applyFill="1" applyBorder="1" applyAlignment="1">
      <alignment horizontal="center" vertical="center" wrapText="1"/>
    </xf>
    <xf numFmtId="0" fontId="29" fillId="3" borderId="74" xfId="0" applyFont="1" applyFill="1" applyBorder="1" applyAlignment="1">
      <alignment horizontal="center" vertical="center" wrapText="1"/>
    </xf>
    <xf numFmtId="0" fontId="29" fillId="3" borderId="77" xfId="0" applyFont="1" applyFill="1" applyBorder="1" applyAlignment="1">
      <alignment horizontal="center" vertical="center" wrapText="1"/>
    </xf>
    <xf numFmtId="0" fontId="29" fillId="3" borderId="78" xfId="0" applyFont="1" applyFill="1" applyBorder="1" applyAlignment="1">
      <alignment horizontal="center" vertical="center" wrapText="1"/>
    </xf>
    <xf numFmtId="0" fontId="29" fillId="3" borderId="79" xfId="0" applyFont="1" applyFill="1" applyBorder="1" applyAlignment="1">
      <alignment horizontal="center" vertical="center" wrapText="1"/>
    </xf>
    <xf numFmtId="0" fontId="29" fillId="3" borderId="83" xfId="0" applyFont="1" applyFill="1" applyBorder="1" applyAlignment="1">
      <alignment horizontal="center" vertical="center" wrapText="1"/>
    </xf>
    <xf numFmtId="0" fontId="29" fillId="3" borderId="84" xfId="0" applyFont="1" applyFill="1" applyBorder="1" applyAlignment="1">
      <alignment horizontal="center" vertical="center" wrapText="1"/>
    </xf>
    <xf numFmtId="0" fontId="16" fillId="3" borderId="72" xfId="0" applyFont="1" applyFill="1" applyBorder="1" applyAlignment="1">
      <alignment horizontal="center" vertical="top" wrapText="1"/>
    </xf>
    <xf numFmtId="0" fontId="29" fillId="3" borderId="0" xfId="0" applyFont="1" applyFill="1" applyAlignment="1">
      <alignment horizontal="right"/>
    </xf>
    <xf numFmtId="0" fontId="29" fillId="3" borderId="0" xfId="0" applyFont="1" applyFill="1" applyBorder="1" applyAlignment="1">
      <alignment horizontal="center" vertical="center" wrapText="1"/>
    </xf>
    <xf numFmtId="0" fontId="34" fillId="3" borderId="0" xfId="0" applyFont="1" applyFill="1" applyBorder="1" applyAlignment="1">
      <alignment horizontal="center" vertical="center" wrapText="1"/>
    </xf>
    <xf numFmtId="0" fontId="34" fillId="3" borderId="0" xfId="0" applyFont="1" applyFill="1" applyBorder="1" applyAlignment="1">
      <alignment horizontal="center" wrapText="1"/>
    </xf>
    <xf numFmtId="0" fontId="29" fillId="3" borderId="63" xfId="0" applyFont="1" applyFill="1" applyBorder="1" applyAlignment="1">
      <alignment horizontal="center" vertical="center" wrapText="1"/>
    </xf>
    <xf numFmtId="0" fontId="29" fillId="3" borderId="64" xfId="0" applyFont="1" applyFill="1" applyBorder="1" applyAlignment="1">
      <alignment horizontal="center" vertical="center" wrapText="1"/>
    </xf>
    <xf numFmtId="0" fontId="29" fillId="3" borderId="65" xfId="0" applyFont="1" applyFill="1" applyBorder="1" applyAlignment="1">
      <alignment horizontal="center" vertical="center" wrapText="1"/>
    </xf>
    <xf numFmtId="0" fontId="29" fillId="3" borderId="67" xfId="0" applyFont="1" applyFill="1" applyBorder="1" applyAlignment="1">
      <alignment horizontal="center" vertical="center" wrapText="1"/>
    </xf>
    <xf numFmtId="0" fontId="29" fillId="3" borderId="70" xfId="0" applyFont="1" applyFill="1" applyBorder="1" applyAlignment="1">
      <alignment horizontal="center" vertical="center" wrapText="1"/>
    </xf>
    <xf numFmtId="0" fontId="29" fillId="3" borderId="71" xfId="0" applyFont="1" applyFill="1" applyBorder="1" applyAlignment="1">
      <alignment horizontal="center" vertical="center" wrapText="1"/>
    </xf>
    <xf numFmtId="0" fontId="29" fillId="3" borderId="61" xfId="0" applyFont="1" applyFill="1" applyBorder="1" applyAlignment="1">
      <alignment horizontal="center" vertical="center" wrapText="1"/>
    </xf>
    <xf numFmtId="0" fontId="29" fillId="3" borderId="62" xfId="0" applyFont="1" applyFill="1" applyBorder="1" applyAlignment="1">
      <alignment horizontal="center" vertical="center" wrapText="1"/>
    </xf>
    <xf numFmtId="0" fontId="29" fillId="3" borderId="56" xfId="0" applyFont="1" applyFill="1" applyBorder="1" applyAlignment="1">
      <alignment horizontal="center" vertical="center" wrapText="1"/>
    </xf>
    <xf numFmtId="0" fontId="34" fillId="3" borderId="63" xfId="0" applyFont="1" applyFill="1" applyBorder="1" applyAlignment="1">
      <alignment horizontal="center" vertical="center" wrapText="1"/>
    </xf>
    <xf numFmtId="0" fontId="34" fillId="3" borderId="59" xfId="0" applyFont="1" applyFill="1" applyBorder="1" applyAlignment="1">
      <alignment horizontal="center" vertical="center" wrapText="1"/>
    </xf>
    <xf numFmtId="0" fontId="34" fillId="3" borderId="60" xfId="0" applyFont="1" applyFill="1" applyBorder="1" applyAlignment="1">
      <alignment horizontal="center" vertical="center" wrapText="1"/>
    </xf>
    <xf numFmtId="0" fontId="34" fillId="3" borderId="61" xfId="0" applyFont="1" applyFill="1" applyBorder="1" applyAlignment="1">
      <alignment horizontal="center" vertical="center" wrapText="1"/>
    </xf>
    <xf numFmtId="0" fontId="34" fillId="3" borderId="62" xfId="0" applyFont="1" applyFill="1" applyBorder="1" applyAlignment="1">
      <alignment horizontal="center" vertical="center" wrapText="1"/>
    </xf>
    <xf numFmtId="0" fontId="34" fillId="3" borderId="1" xfId="0" applyFont="1" applyFill="1" applyBorder="1" applyAlignment="1">
      <alignment horizontal="center" vertical="center" wrapText="1"/>
    </xf>
    <xf numFmtId="0" fontId="34" fillId="3" borderId="56" xfId="0" applyFont="1" applyFill="1" applyBorder="1" applyAlignment="1">
      <alignment horizontal="center" vertical="center" wrapText="1"/>
    </xf>
    <xf numFmtId="0" fontId="34" fillId="3" borderId="57" xfId="0" applyFont="1" applyFill="1" applyBorder="1" applyAlignment="1">
      <alignment horizontal="center" vertical="center" wrapText="1"/>
    </xf>
    <xf numFmtId="0" fontId="34" fillId="3" borderId="58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11" fillId="6" borderId="21" xfId="0" applyFont="1" applyFill="1" applyBorder="1" applyAlignment="1">
      <alignment horizontal="center" vertical="center" wrapText="1"/>
    </xf>
    <xf numFmtId="0" fontId="11" fillId="6" borderId="20" xfId="0" applyFont="1" applyFill="1" applyBorder="1" applyAlignment="1">
      <alignment horizontal="center" vertical="center" wrapText="1"/>
    </xf>
    <xf numFmtId="0" fontId="11" fillId="0" borderId="35" xfId="0" applyFont="1" applyBorder="1" applyAlignment="1">
      <alignment horizontal="center" vertical="center" wrapText="1"/>
    </xf>
    <xf numFmtId="0" fontId="11" fillId="0" borderId="51" xfId="0" applyFont="1" applyBorder="1" applyAlignment="1">
      <alignment horizontal="center" vertical="center" wrapText="1"/>
    </xf>
    <xf numFmtId="0" fontId="11" fillId="6" borderId="53" xfId="0" applyFont="1" applyFill="1" applyBorder="1" applyAlignment="1">
      <alignment horizontal="center" vertical="center" wrapText="1"/>
    </xf>
    <xf numFmtId="0" fontId="11" fillId="6" borderId="54" xfId="0" applyFont="1" applyFill="1" applyBorder="1" applyAlignment="1">
      <alignment horizontal="center" vertical="center" wrapText="1"/>
    </xf>
    <xf numFmtId="0" fontId="11" fillId="6" borderId="88" xfId="0" applyFont="1" applyFill="1" applyBorder="1" applyAlignment="1">
      <alignment horizontal="center" vertical="center" wrapText="1"/>
    </xf>
    <xf numFmtId="0" fontId="11" fillId="6" borderId="89" xfId="0" applyFont="1" applyFill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0" fontId="11" fillId="6" borderId="90" xfId="0" applyFont="1" applyFill="1" applyBorder="1" applyAlignment="1">
      <alignment horizontal="center" vertical="center" wrapText="1"/>
    </xf>
    <xf numFmtId="0" fontId="11" fillId="6" borderId="35" xfId="0" applyFont="1" applyFill="1" applyBorder="1" applyAlignment="1">
      <alignment horizontal="center" vertical="center" wrapText="1"/>
    </xf>
    <xf numFmtId="0" fontId="11" fillId="6" borderId="51" xfId="0" applyFont="1" applyFill="1" applyBorder="1" applyAlignment="1">
      <alignment horizontal="center" vertical="center" wrapText="1"/>
    </xf>
    <xf numFmtId="0" fontId="11" fillId="6" borderId="50" xfId="0" applyFont="1" applyFill="1" applyBorder="1" applyAlignment="1">
      <alignment horizontal="center" vertical="center" wrapText="1"/>
    </xf>
    <xf numFmtId="0" fontId="11" fillId="6" borderId="12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16" fillId="0" borderId="2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51" fillId="3" borderId="91" xfId="0" applyFont="1" applyFill="1" applyBorder="1" applyAlignment="1">
      <alignment horizontal="center" vertical="center" wrapText="1"/>
    </xf>
    <xf numFmtId="0" fontId="51" fillId="3" borderId="92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38" fillId="0" borderId="21" xfId="0" applyFont="1" applyBorder="1"/>
    <xf numFmtId="0" fontId="38" fillId="0" borderId="12" xfId="0" applyFont="1" applyBorder="1"/>
    <xf numFmtId="0" fontId="38" fillId="0" borderId="20" xfId="0" applyFont="1" applyBorder="1"/>
    <xf numFmtId="0" fontId="16" fillId="3" borderId="1" xfId="1" applyFont="1" applyFill="1" applyBorder="1" applyAlignment="1">
      <alignment horizontal="center" vertical="center" wrapText="1"/>
    </xf>
    <xf numFmtId="0" fontId="48" fillId="0" borderId="21" xfId="0" applyFont="1" applyBorder="1" applyAlignment="1">
      <alignment horizontal="center" vertical="center" wrapText="1"/>
    </xf>
    <xf numFmtId="0" fontId="48" fillId="0" borderId="12" xfId="0" applyFont="1" applyBorder="1" applyAlignment="1">
      <alignment horizontal="center" vertical="center" wrapText="1"/>
    </xf>
    <xf numFmtId="0" fontId="48" fillId="0" borderId="20" xfId="0" applyFont="1" applyBorder="1" applyAlignment="1">
      <alignment horizontal="center" vertical="center" wrapText="1"/>
    </xf>
    <xf numFmtId="0" fontId="48" fillId="0" borderId="12" xfId="0" applyFont="1" applyBorder="1" applyAlignment="1">
      <alignment horizontal="center" vertical="center"/>
    </xf>
    <xf numFmtId="0" fontId="48" fillId="0" borderId="20" xfId="0" applyFont="1" applyBorder="1" applyAlignment="1">
      <alignment horizontal="center" vertical="center"/>
    </xf>
    <xf numFmtId="0" fontId="34" fillId="3" borderId="91" xfId="0" applyFont="1" applyFill="1" applyBorder="1" applyAlignment="1">
      <alignment horizontal="center" vertical="center" wrapText="1"/>
    </xf>
    <xf numFmtId="0" fontId="34" fillId="3" borderId="92" xfId="0" applyFont="1" applyFill="1" applyBorder="1" applyAlignment="1">
      <alignment horizontal="center" vertical="center" wrapText="1"/>
    </xf>
    <xf numFmtId="0" fontId="34" fillId="0" borderId="21" xfId="0" applyFont="1" applyBorder="1" applyAlignment="1">
      <alignment horizontal="center" vertical="center" wrapText="1"/>
    </xf>
    <xf numFmtId="0" fontId="34" fillId="0" borderId="12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 vertical="center"/>
    </xf>
    <xf numFmtId="0" fontId="34" fillId="0" borderId="12" xfId="0" applyFont="1" applyBorder="1" applyAlignment="1">
      <alignment horizontal="center" vertical="center"/>
    </xf>
    <xf numFmtId="0" fontId="34" fillId="0" borderId="20" xfId="0" applyFont="1" applyBorder="1" applyAlignment="1">
      <alignment horizontal="center" vertical="center"/>
    </xf>
    <xf numFmtId="0" fontId="49" fillId="0" borderId="21" xfId="0" applyFont="1" applyBorder="1" applyAlignment="1">
      <alignment horizontal="center" vertical="center" wrapText="1"/>
    </xf>
    <xf numFmtId="0" fontId="49" fillId="0" borderId="12" xfId="0" applyFont="1" applyBorder="1" applyAlignment="1">
      <alignment horizontal="center" vertical="center" wrapText="1"/>
    </xf>
    <xf numFmtId="0" fontId="49" fillId="0" borderId="20" xfId="0" applyFont="1" applyBorder="1" applyAlignment="1">
      <alignment horizontal="center" vertical="center" wrapText="1"/>
    </xf>
    <xf numFmtId="0" fontId="38" fillId="0" borderId="21" xfId="0" applyFont="1" applyBorder="1" applyAlignment="1">
      <alignment horizontal="center" vertical="center" wrapText="1"/>
    </xf>
    <xf numFmtId="0" fontId="38" fillId="0" borderId="12" xfId="0" applyFont="1" applyBorder="1" applyAlignment="1">
      <alignment horizontal="center" vertical="center" wrapText="1"/>
    </xf>
    <xf numFmtId="0" fontId="38" fillId="0" borderId="20" xfId="0" applyFont="1" applyBorder="1" applyAlignment="1">
      <alignment horizontal="center" vertical="center" wrapText="1"/>
    </xf>
    <xf numFmtId="0" fontId="47" fillId="0" borderId="21" xfId="0" applyFont="1" applyBorder="1" applyAlignment="1">
      <alignment horizontal="center" wrapText="1"/>
    </xf>
    <xf numFmtId="0" fontId="47" fillId="0" borderId="12" xfId="0" applyFont="1" applyBorder="1" applyAlignment="1">
      <alignment horizontal="center"/>
    </xf>
    <xf numFmtId="0" fontId="47" fillId="0" borderId="20" xfId="0" applyFont="1" applyBorder="1" applyAlignment="1">
      <alignment horizontal="center"/>
    </xf>
    <xf numFmtId="0" fontId="47" fillId="0" borderId="12" xfId="0" applyFont="1" applyBorder="1" applyAlignment="1">
      <alignment horizontal="center" wrapText="1"/>
    </xf>
    <xf numFmtId="0" fontId="47" fillId="0" borderId="20" xfId="0" applyFont="1" applyBorder="1" applyAlignment="1">
      <alignment horizontal="center" wrapText="1"/>
    </xf>
    <xf numFmtId="0" fontId="48" fillId="0" borderId="21" xfId="0" applyFont="1" applyBorder="1" applyAlignment="1">
      <alignment horizontal="center" wrapText="1"/>
    </xf>
    <xf numFmtId="0" fontId="48" fillId="0" borderId="12" xfId="0" applyFont="1" applyBorder="1" applyAlignment="1">
      <alignment horizontal="center" wrapText="1"/>
    </xf>
    <xf numFmtId="0" fontId="48" fillId="0" borderId="20" xfId="0" applyFont="1" applyBorder="1" applyAlignment="1">
      <alignment horizontal="center" wrapText="1"/>
    </xf>
    <xf numFmtId="0" fontId="16" fillId="0" borderId="21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6" fillId="0" borderId="21" xfId="0" applyNumberFormat="1" applyFont="1" applyBorder="1" applyAlignment="1">
      <alignment horizontal="center" vertical="center" wrapText="1"/>
    </xf>
    <xf numFmtId="0" fontId="16" fillId="0" borderId="12" xfId="0" applyNumberFormat="1" applyFont="1" applyBorder="1" applyAlignment="1">
      <alignment horizontal="center" vertical="center" wrapText="1"/>
    </xf>
    <xf numFmtId="0" fontId="31" fillId="0" borderId="0" xfId="0" applyFont="1" applyAlignment="1">
      <alignment horizontal="right" vertical="center"/>
    </xf>
    <xf numFmtId="0" fontId="36" fillId="0" borderId="0" xfId="0" applyFont="1" applyAlignment="1">
      <alignment horizontal="center" vertical="center" wrapText="1"/>
    </xf>
    <xf numFmtId="0" fontId="36" fillId="0" borderId="0" xfId="0" applyFont="1" applyAlignment="1">
      <alignment horizontal="center" vertical="center"/>
    </xf>
    <xf numFmtId="0" fontId="37" fillId="0" borderId="21" xfId="0" applyFont="1" applyBorder="1" applyAlignment="1">
      <alignment horizontal="center" vertical="center" wrapText="1"/>
    </xf>
    <xf numFmtId="0" fontId="37" fillId="0" borderId="20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0" fontId="39" fillId="0" borderId="35" xfId="0" applyFont="1" applyBorder="1" applyAlignment="1">
      <alignment horizontal="left" vertical="center"/>
    </xf>
    <xf numFmtId="0" fontId="39" fillId="0" borderId="50" xfId="0" applyFont="1" applyBorder="1" applyAlignment="1">
      <alignment horizontal="left" vertical="center"/>
    </xf>
    <xf numFmtId="0" fontId="39" fillId="0" borderId="51" xfId="0" applyFont="1" applyBorder="1" applyAlignment="1">
      <alignment horizontal="left" vertical="center"/>
    </xf>
    <xf numFmtId="0" fontId="16" fillId="0" borderId="20" xfId="0" applyNumberFormat="1" applyFont="1" applyBorder="1" applyAlignment="1">
      <alignment horizontal="center" vertical="center" wrapText="1"/>
    </xf>
  </cellXfs>
  <cellStyles count="8">
    <cellStyle name="Денежный 2" xfId="6"/>
    <cellStyle name="Обычный" xfId="0" builtinId="0"/>
    <cellStyle name="Обычный 2" xfId="1"/>
    <cellStyle name="Обычный 3" xfId="2"/>
    <cellStyle name="Обычный 4" xfId="4"/>
    <cellStyle name="Процентный 2" xfId="5"/>
    <cellStyle name="Финансовый 2" xfId="3"/>
    <cellStyle name="Финансовый 2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tabColor indexed="50"/>
    <pageSetUpPr fitToPage="1"/>
  </sheetPr>
  <dimension ref="A1:N144"/>
  <sheetViews>
    <sheetView view="pageBreakPreview" zoomScale="90" zoomScaleNormal="75" zoomScaleSheetLayoutView="90" workbookViewId="0">
      <pane xSplit="3" ySplit="11" topLeftCell="D42" activePane="bottomRight" state="frozen"/>
      <selection pane="topRight" activeCell="D1" sqref="D1"/>
      <selection pane="bottomLeft" activeCell="A12" sqref="A12"/>
      <selection pane="bottomRight" activeCell="E45" sqref="E45"/>
    </sheetView>
  </sheetViews>
  <sheetFormatPr defaultRowHeight="12.75" x14ac:dyDescent="0.2"/>
  <cols>
    <col min="1" max="1" width="74.7109375" customWidth="1"/>
    <col min="2" max="2" width="11.7109375" customWidth="1"/>
    <col min="3" max="3" width="13.85546875" customWidth="1"/>
    <col min="4" max="4" width="17.140625" customWidth="1"/>
    <col min="5" max="5" width="13" customWidth="1"/>
    <col min="6" max="6" width="12.85546875" customWidth="1"/>
    <col min="7" max="7" width="18" bestFit="1" customWidth="1"/>
    <col min="8" max="8" width="14.140625" customWidth="1"/>
    <col min="9" max="9" width="12.7109375" customWidth="1"/>
  </cols>
  <sheetData>
    <row r="1" spans="1:9" ht="36" customHeight="1" x14ac:dyDescent="0.2">
      <c r="A1" s="289" t="s">
        <v>259</v>
      </c>
      <c r="B1" s="289"/>
      <c r="C1" s="289"/>
      <c r="D1" s="289"/>
      <c r="E1" s="289"/>
      <c r="F1" s="289"/>
      <c r="H1" s="287" t="s">
        <v>93</v>
      </c>
      <c r="I1" s="287"/>
    </row>
    <row r="2" spans="1:9" ht="39" customHeight="1" x14ac:dyDescent="0.2">
      <c r="A2" s="71"/>
      <c r="B2" s="71"/>
      <c r="C2" s="71"/>
      <c r="D2" s="71"/>
      <c r="E2" s="71"/>
      <c r="F2" s="71"/>
      <c r="H2" s="288" t="s">
        <v>260</v>
      </c>
      <c r="I2" s="288"/>
    </row>
    <row r="3" spans="1:9" ht="14.25" customHeight="1" x14ac:dyDescent="0.2">
      <c r="A3" s="1"/>
      <c r="B3" s="2"/>
      <c r="C3" s="1"/>
      <c r="D3" s="1"/>
      <c r="E3" s="19"/>
      <c r="F3" s="19"/>
      <c r="G3" s="19"/>
    </row>
    <row r="4" spans="1:9" ht="30" customHeight="1" x14ac:dyDescent="0.2">
      <c r="A4" s="293" t="s">
        <v>269</v>
      </c>
      <c r="B4" s="293"/>
      <c r="C4" s="293"/>
      <c r="D4" s="293"/>
      <c r="E4" s="293"/>
      <c r="F4" s="293"/>
      <c r="G4" s="293"/>
      <c r="H4" s="293"/>
      <c r="I4" s="293"/>
    </row>
    <row r="5" spans="1:9" ht="14.25" customHeight="1" x14ac:dyDescent="0.2">
      <c r="A5" s="15"/>
      <c r="B5" s="15"/>
      <c r="C5" s="15"/>
      <c r="D5" s="15"/>
      <c r="E5" s="15"/>
      <c r="F5" s="15"/>
      <c r="G5" s="15"/>
    </row>
    <row r="6" spans="1:9" ht="21" customHeight="1" x14ac:dyDescent="0.2">
      <c r="A6" s="290" t="s">
        <v>9</v>
      </c>
      <c r="B6" s="299" t="s">
        <v>10</v>
      </c>
      <c r="C6" s="290" t="s">
        <v>236</v>
      </c>
      <c r="D6" s="290" t="s">
        <v>256</v>
      </c>
      <c r="E6" s="290" t="s">
        <v>257</v>
      </c>
      <c r="F6" s="294" t="s">
        <v>95</v>
      </c>
      <c r="G6" s="295"/>
      <c r="H6" s="295"/>
      <c r="I6" s="298"/>
    </row>
    <row r="7" spans="1:9" ht="33" customHeight="1" x14ac:dyDescent="0.2">
      <c r="A7" s="291"/>
      <c r="B7" s="300"/>
      <c r="C7" s="291"/>
      <c r="D7" s="291"/>
      <c r="E7" s="291"/>
      <c r="F7" s="294" t="s">
        <v>230</v>
      </c>
      <c r="G7" s="295"/>
      <c r="H7" s="296" t="s">
        <v>237</v>
      </c>
      <c r="I7" s="296" t="s">
        <v>258</v>
      </c>
    </row>
    <row r="8" spans="1:9" ht="34.5" customHeight="1" x14ac:dyDescent="0.2">
      <c r="A8" s="292"/>
      <c r="B8" s="301"/>
      <c r="C8" s="292"/>
      <c r="D8" s="292"/>
      <c r="E8" s="292"/>
      <c r="F8" s="16" t="s">
        <v>92</v>
      </c>
      <c r="G8" s="67" t="s">
        <v>8</v>
      </c>
      <c r="H8" s="297"/>
      <c r="I8" s="297"/>
    </row>
    <row r="9" spans="1:9" ht="18.75" x14ac:dyDescent="0.2">
      <c r="A9" s="273" t="s">
        <v>11</v>
      </c>
      <c r="B9" s="274"/>
      <c r="C9" s="274"/>
      <c r="D9" s="274"/>
      <c r="E9" s="274"/>
      <c r="F9" s="274"/>
      <c r="G9" s="274"/>
      <c r="H9" s="274"/>
      <c r="I9" s="274"/>
    </row>
    <row r="10" spans="1:9" ht="39" x14ac:dyDescent="0.2">
      <c r="A10" s="131" t="s">
        <v>120</v>
      </c>
      <c r="B10" s="132" t="s">
        <v>12</v>
      </c>
      <c r="C10" s="133">
        <v>7072.8559999999998</v>
      </c>
      <c r="D10" s="133">
        <v>7411.94</v>
      </c>
      <c r="E10" s="133">
        <f>SUM(D10*106.5%)</f>
        <v>7893.7160999999987</v>
      </c>
      <c r="F10" s="133">
        <f>SUM(E10*104.9%)</f>
        <v>8280.5081888999994</v>
      </c>
      <c r="G10" s="134">
        <f>SUM(E10*104%)</f>
        <v>8209.464743999999</v>
      </c>
      <c r="H10" s="135">
        <f>SUM(F10*104.5%)</f>
        <v>8653.1310574004983</v>
      </c>
      <c r="I10" s="134">
        <f>SUM(H10*104%)</f>
        <v>8999.2562996965189</v>
      </c>
    </row>
    <row r="11" spans="1:9" ht="18.75" x14ac:dyDescent="0.2">
      <c r="A11" s="136" t="s">
        <v>13</v>
      </c>
      <c r="B11" s="119"/>
      <c r="C11" s="137"/>
      <c r="D11" s="137"/>
      <c r="E11" s="137"/>
      <c r="F11" s="137"/>
      <c r="G11" s="138"/>
      <c r="H11" s="137"/>
      <c r="I11" s="138"/>
    </row>
    <row r="12" spans="1:9" ht="18.75" x14ac:dyDescent="0.2">
      <c r="A12" s="139" t="s">
        <v>69</v>
      </c>
      <c r="B12" s="140" t="s">
        <v>12</v>
      </c>
      <c r="C12" s="106">
        <v>8.3789999999999996</v>
      </c>
      <c r="D12" s="106">
        <v>5.2960000000000003</v>
      </c>
      <c r="E12" s="110">
        <f>SUM(D12*106.5%)</f>
        <v>5.6402400000000004</v>
      </c>
      <c r="F12" s="110">
        <f>SUM(E12*104.9%)</f>
        <v>5.9166117600000012</v>
      </c>
      <c r="G12" s="110">
        <f>SUM(E12*104%)</f>
        <v>5.8658496000000007</v>
      </c>
      <c r="H12" s="110">
        <f>SUM(F12*104.5%)</f>
        <v>6.1828592892000005</v>
      </c>
      <c r="I12" s="110">
        <f>SUM(H12*104%)</f>
        <v>6.4301736607680011</v>
      </c>
    </row>
    <row r="13" spans="1:9" ht="18.75" x14ac:dyDescent="0.2">
      <c r="A13" s="139" t="s">
        <v>83</v>
      </c>
      <c r="B13" s="140" t="s">
        <v>12</v>
      </c>
      <c r="C13" s="106"/>
      <c r="D13" s="106"/>
      <c r="E13" s="110"/>
      <c r="F13" s="110"/>
      <c r="G13" s="110"/>
      <c r="H13" s="110"/>
      <c r="I13" s="110"/>
    </row>
    <row r="14" spans="1:9" ht="18.75" x14ac:dyDescent="0.2">
      <c r="A14" s="141" t="s">
        <v>71</v>
      </c>
      <c r="B14" s="140" t="s">
        <v>12</v>
      </c>
      <c r="C14" s="106">
        <v>337.2</v>
      </c>
      <c r="D14" s="106">
        <v>251.3</v>
      </c>
      <c r="E14" s="110">
        <f t="shared" ref="E14:E21" si="0">SUM(D14*106.5%)</f>
        <v>267.6345</v>
      </c>
      <c r="F14" s="110">
        <f t="shared" ref="F14:F21" si="1">SUM(E14*104.9%)</f>
        <v>280.74859050000003</v>
      </c>
      <c r="G14" s="110">
        <f t="shared" ref="G14:G21" si="2">SUM(E14*104%)</f>
        <v>278.33987999999999</v>
      </c>
      <c r="H14" s="110">
        <f t="shared" ref="H14:H21" si="3">SUM(F14*104.5%)</f>
        <v>293.38227707250002</v>
      </c>
      <c r="I14" s="110">
        <f t="shared" ref="I14:I21" si="4">SUM(H14*104%)</f>
        <v>305.11756815540002</v>
      </c>
    </row>
    <row r="15" spans="1:9" ht="18.75" x14ac:dyDescent="0.2">
      <c r="A15" s="141" t="s">
        <v>72</v>
      </c>
      <c r="B15" s="140" t="s">
        <v>12</v>
      </c>
      <c r="C15" s="106">
        <v>1472.49</v>
      </c>
      <c r="D15" s="106">
        <v>1309.3656000000001</v>
      </c>
      <c r="E15" s="110">
        <f t="shared" si="0"/>
        <v>1394.4743639999999</v>
      </c>
      <c r="F15" s="110">
        <f t="shared" si="1"/>
        <v>1462.8036078360001</v>
      </c>
      <c r="G15" s="110">
        <f t="shared" si="2"/>
        <v>1450.25333856</v>
      </c>
      <c r="H15" s="110">
        <f t="shared" si="3"/>
        <v>1528.6297701886199</v>
      </c>
      <c r="I15" s="110">
        <f t="shared" si="4"/>
        <v>1589.7749609961647</v>
      </c>
    </row>
    <row r="16" spans="1:9" ht="18.75" x14ac:dyDescent="0.2">
      <c r="A16" s="141" t="s">
        <v>84</v>
      </c>
      <c r="B16" s="140" t="s">
        <v>12</v>
      </c>
      <c r="C16" s="106">
        <v>890.05</v>
      </c>
      <c r="D16" s="106">
        <v>816.09699999999998</v>
      </c>
      <c r="E16" s="110">
        <f t="shared" si="0"/>
        <v>869.14330499999994</v>
      </c>
      <c r="F16" s="110">
        <f t="shared" si="1"/>
        <v>911.73132694500009</v>
      </c>
      <c r="G16" s="110">
        <f t="shared" si="2"/>
        <v>903.90903719999994</v>
      </c>
      <c r="H16" s="110">
        <f t="shared" si="3"/>
        <v>952.75923665752498</v>
      </c>
      <c r="I16" s="110">
        <f t="shared" si="4"/>
        <v>990.86960612382597</v>
      </c>
    </row>
    <row r="17" spans="1:11" ht="18.75" x14ac:dyDescent="0.2">
      <c r="A17" s="141" t="s">
        <v>22</v>
      </c>
      <c r="B17" s="140" t="s">
        <v>12</v>
      </c>
      <c r="C17" s="106">
        <v>1889.509</v>
      </c>
      <c r="D17" s="106">
        <v>1276.3209999999999</v>
      </c>
      <c r="E17" s="110">
        <f t="shared" si="0"/>
        <v>1359.2818649999999</v>
      </c>
      <c r="F17" s="110">
        <f t="shared" si="1"/>
        <v>1425.8866763850001</v>
      </c>
      <c r="G17" s="110">
        <f t="shared" si="2"/>
        <v>1413.6531396</v>
      </c>
      <c r="H17" s="110">
        <f t="shared" si="3"/>
        <v>1490.0515768223249</v>
      </c>
      <c r="I17" s="110">
        <f t="shared" si="4"/>
        <v>1549.653639895218</v>
      </c>
    </row>
    <row r="18" spans="1:11" ht="56.25" customHeight="1" x14ac:dyDescent="0.2">
      <c r="A18" s="139" t="s">
        <v>2</v>
      </c>
      <c r="B18" s="140" t="s">
        <v>12</v>
      </c>
      <c r="C18" s="106">
        <v>1243.5899999999999</v>
      </c>
      <c r="D18" s="106">
        <v>1612.4010000000001</v>
      </c>
      <c r="E18" s="110">
        <f t="shared" si="0"/>
        <v>1717.2070650000001</v>
      </c>
      <c r="F18" s="110">
        <f t="shared" si="1"/>
        <v>1801.3502111850003</v>
      </c>
      <c r="G18" s="110">
        <f t="shared" si="2"/>
        <v>1785.8953476000002</v>
      </c>
      <c r="H18" s="110">
        <f t="shared" si="3"/>
        <v>1882.4109706883251</v>
      </c>
      <c r="I18" s="110">
        <f t="shared" si="4"/>
        <v>1957.7074095158582</v>
      </c>
    </row>
    <row r="19" spans="1:11" ht="18.75" x14ac:dyDescent="0.2">
      <c r="A19" s="141" t="s">
        <v>74</v>
      </c>
      <c r="B19" s="140" t="s">
        <v>12</v>
      </c>
      <c r="C19" s="106">
        <v>59.917000000000002</v>
      </c>
      <c r="D19" s="106">
        <v>53.987000000000002</v>
      </c>
      <c r="E19" s="110">
        <f t="shared" si="0"/>
        <v>57.496155000000002</v>
      </c>
      <c r="F19" s="110">
        <f t="shared" si="1"/>
        <v>60.313466595000008</v>
      </c>
      <c r="G19" s="110">
        <f t="shared" si="2"/>
        <v>59.796001200000006</v>
      </c>
      <c r="H19" s="110">
        <f t="shared" si="3"/>
        <v>63.027572591775005</v>
      </c>
      <c r="I19" s="110">
        <f t="shared" si="4"/>
        <v>65.548675495446005</v>
      </c>
    </row>
    <row r="20" spans="1:11" ht="18.75" x14ac:dyDescent="0.2">
      <c r="A20" s="141" t="s">
        <v>79</v>
      </c>
      <c r="B20" s="140" t="s">
        <v>12</v>
      </c>
      <c r="C20" s="106">
        <v>1171.72</v>
      </c>
      <c r="D20" s="106">
        <v>2087.19</v>
      </c>
      <c r="E20" s="110">
        <f t="shared" si="0"/>
        <v>2222.8573499999998</v>
      </c>
      <c r="F20" s="110">
        <f t="shared" si="1"/>
        <v>2331.7773601500003</v>
      </c>
      <c r="G20" s="110">
        <f t="shared" si="2"/>
        <v>2311.7716439999999</v>
      </c>
      <c r="H20" s="110">
        <f t="shared" si="3"/>
        <v>2436.70734135675</v>
      </c>
      <c r="I20" s="110">
        <f t="shared" si="4"/>
        <v>2534.1756350110199</v>
      </c>
    </row>
    <row r="21" spans="1:11" ht="58.5" x14ac:dyDescent="0.2">
      <c r="A21" s="131" t="s">
        <v>121</v>
      </c>
      <c r="B21" s="140" t="s">
        <v>12</v>
      </c>
      <c r="C21" s="106">
        <v>1807.95</v>
      </c>
      <c r="D21" s="106">
        <v>1845.9</v>
      </c>
      <c r="E21" s="110">
        <f t="shared" si="0"/>
        <v>1965.8834999999999</v>
      </c>
      <c r="F21" s="110">
        <f t="shared" si="1"/>
        <v>2062.2117915000003</v>
      </c>
      <c r="G21" s="110">
        <f t="shared" si="2"/>
        <v>2044.51884</v>
      </c>
      <c r="H21" s="110">
        <f t="shared" si="3"/>
        <v>2155.0113221175002</v>
      </c>
      <c r="I21" s="110">
        <f t="shared" si="4"/>
        <v>2241.2117750022003</v>
      </c>
    </row>
    <row r="22" spans="1:11" ht="44.25" customHeight="1" x14ac:dyDescent="0.2">
      <c r="A22" s="142" t="s">
        <v>192</v>
      </c>
      <c r="B22" s="118" t="s">
        <v>12</v>
      </c>
      <c r="C22" s="143">
        <v>83.162000000000006</v>
      </c>
      <c r="D22" s="143">
        <v>87.802000000000007</v>
      </c>
      <c r="E22" s="143">
        <f>SUM(D22*105.4%)</f>
        <v>92.54330800000001</v>
      </c>
      <c r="F22" s="143">
        <f>SUM(E22*104.2%)</f>
        <v>96.430126936000008</v>
      </c>
      <c r="G22" s="143">
        <f>SUM(E22*104.9%)</f>
        <v>97.077930092000031</v>
      </c>
      <c r="H22" s="143">
        <f>SUM(F22*112.7%)</f>
        <v>108.676753056872</v>
      </c>
      <c r="I22" s="143">
        <f>SUM(H22*110.6%)</f>
        <v>120.19648888090042</v>
      </c>
    </row>
    <row r="23" spans="1:11" ht="18.75" x14ac:dyDescent="0.2">
      <c r="A23" s="278" t="s">
        <v>16</v>
      </c>
      <c r="B23" s="279"/>
      <c r="C23" s="279"/>
      <c r="D23" s="279"/>
      <c r="E23" s="279"/>
      <c r="F23" s="279"/>
      <c r="G23" s="279"/>
      <c r="H23" s="279"/>
      <c r="I23" s="280"/>
    </row>
    <row r="24" spans="1:11" ht="18.75" x14ac:dyDescent="0.2">
      <c r="A24" s="144" t="s">
        <v>102</v>
      </c>
      <c r="B24" s="145"/>
      <c r="C24" s="145"/>
      <c r="D24" s="145"/>
      <c r="E24" s="146"/>
      <c r="F24" s="146"/>
      <c r="G24" s="146"/>
      <c r="H24" s="146"/>
      <c r="I24" s="146"/>
    </row>
    <row r="25" spans="1:11" ht="44.25" customHeight="1" x14ac:dyDescent="0.2">
      <c r="A25" s="147" t="s">
        <v>109</v>
      </c>
      <c r="B25" s="140" t="s">
        <v>12</v>
      </c>
      <c r="C25" s="148">
        <f>SUM(C29+C32+C35)</f>
        <v>2305.2809999999999</v>
      </c>
      <c r="D25" s="148">
        <f>SUM(D29+D32+D35)</f>
        <v>2138.7094999999999</v>
      </c>
      <c r="E25" s="109">
        <f>SUM(D25*100%)</f>
        <v>2138.7094999999999</v>
      </c>
      <c r="F25" s="109">
        <f>SUM(E25*101.1%)</f>
        <v>2162.2353044999995</v>
      </c>
      <c r="G25" s="109">
        <f>SUM(E25*101.7%)</f>
        <v>2175.0675615</v>
      </c>
      <c r="H25" s="109">
        <f>SUM(F25*101.7%)</f>
        <v>2198.9933046765</v>
      </c>
      <c r="I25" s="109">
        <f>SUM(H25*102.1%)</f>
        <v>2245.1721640747064</v>
      </c>
    </row>
    <row r="26" spans="1:11" ht="18.75" x14ac:dyDescent="0.2">
      <c r="A26" s="147" t="s">
        <v>104</v>
      </c>
      <c r="B26" s="148" t="s">
        <v>14</v>
      </c>
      <c r="C26" s="148">
        <v>64.53</v>
      </c>
      <c r="D26" s="148">
        <v>109.59</v>
      </c>
      <c r="E26" s="109">
        <f>SUM(D26*100%)</f>
        <v>109.59</v>
      </c>
      <c r="F26" s="109">
        <f>SUM(E26*101.1%)</f>
        <v>110.79548999999999</v>
      </c>
      <c r="G26" s="109">
        <f>SUM(E26*101.7%)</f>
        <v>111.45303000000001</v>
      </c>
      <c r="H26" s="109">
        <f>SUM(F26*101.7%)</f>
        <v>112.67901333</v>
      </c>
      <c r="I26" s="109">
        <f>SUM(H26*102.1%)</f>
        <v>115.04527260993</v>
      </c>
      <c r="K26" t="s">
        <v>270</v>
      </c>
    </row>
    <row r="27" spans="1:11" ht="18.75" x14ac:dyDescent="0.2">
      <c r="A27" s="149" t="s">
        <v>33</v>
      </c>
      <c r="B27" s="140"/>
      <c r="C27" s="148"/>
      <c r="D27" s="148"/>
      <c r="E27" s="109"/>
      <c r="F27" s="109"/>
      <c r="G27" s="109"/>
      <c r="H27" s="109"/>
      <c r="I27" s="109"/>
    </row>
    <row r="28" spans="1:11" ht="18.75" x14ac:dyDescent="0.2">
      <c r="A28" s="150" t="s">
        <v>17</v>
      </c>
      <c r="B28" s="140"/>
      <c r="C28" s="106"/>
      <c r="D28" s="106"/>
      <c r="E28" s="110"/>
      <c r="F28" s="110"/>
      <c r="G28" s="110"/>
      <c r="H28" s="110"/>
      <c r="I28" s="110"/>
    </row>
    <row r="29" spans="1:11" ht="37.5" x14ac:dyDescent="0.2">
      <c r="A29" s="151" t="s">
        <v>108</v>
      </c>
      <c r="B29" s="140" t="s">
        <v>12</v>
      </c>
      <c r="C29" s="106">
        <v>303</v>
      </c>
      <c r="D29" s="106">
        <v>199.25</v>
      </c>
      <c r="E29" s="110">
        <f>SUM(D29*100%)</f>
        <v>199.25</v>
      </c>
      <c r="F29" s="110">
        <f>SUM(E29*102.8%)</f>
        <v>204.82900000000001</v>
      </c>
      <c r="G29" s="110">
        <f>SUM(F29*101.1%)</f>
        <v>207.08211899999998</v>
      </c>
      <c r="H29" s="110">
        <f>SUM(F29*101.3%)</f>
        <v>207.49177699999998</v>
      </c>
      <c r="I29" s="110">
        <f>SUM(H29*100.2%)</f>
        <v>207.90676055399999</v>
      </c>
    </row>
    <row r="30" spans="1:11" ht="18.75" x14ac:dyDescent="0.2">
      <c r="A30" s="151" t="s">
        <v>3</v>
      </c>
      <c r="B30" s="140" t="s">
        <v>14</v>
      </c>
      <c r="C30" s="106">
        <v>96.51</v>
      </c>
      <c r="D30" s="106">
        <v>98.07</v>
      </c>
      <c r="E30" s="110">
        <f>SUM(D30*102.1%)</f>
        <v>100.12946999999998</v>
      </c>
      <c r="F30" s="110">
        <f>SUM(E30*102.8%)</f>
        <v>102.93309515999998</v>
      </c>
      <c r="G30" s="110">
        <f>SUM(F30*101.1%)</f>
        <v>104.06535920675996</v>
      </c>
      <c r="H30" s="110">
        <f>SUM(F30*101.3%)</f>
        <v>104.27122539707997</v>
      </c>
      <c r="I30" s="110">
        <f>SUM(H30*100.2%)</f>
        <v>104.47976784787413</v>
      </c>
    </row>
    <row r="31" spans="1:11" ht="18.75" x14ac:dyDescent="0.2">
      <c r="A31" s="150" t="s">
        <v>18</v>
      </c>
      <c r="B31" s="140"/>
      <c r="C31" s="106"/>
      <c r="D31" s="106"/>
      <c r="E31" s="110"/>
      <c r="F31" s="110"/>
      <c r="G31" s="110"/>
      <c r="H31" s="110"/>
      <c r="I31" s="110"/>
    </row>
    <row r="32" spans="1:11" ht="37.5" x14ac:dyDescent="0.2">
      <c r="A32" s="151" t="s">
        <v>108</v>
      </c>
      <c r="B32" s="140" t="s">
        <v>12</v>
      </c>
      <c r="C32" s="106">
        <v>1379.751</v>
      </c>
      <c r="D32" s="106">
        <v>1187.7484999999999</v>
      </c>
      <c r="E32" s="110">
        <f>SUM(D32*103.7%)</f>
        <v>1231.6951944999998</v>
      </c>
      <c r="F32" s="110">
        <f>SUM(E32*103.8%)</f>
        <v>1278.4996118909999</v>
      </c>
      <c r="G32" s="110">
        <f>SUM(E32*103%)</f>
        <v>1268.6460503349999</v>
      </c>
      <c r="H32" s="110">
        <f>SUM(F32*103.4%)</f>
        <v>1321.9685986952938</v>
      </c>
      <c r="I32" s="110">
        <f>SUM(H32*101.9%)</f>
        <v>1347.0860020705045</v>
      </c>
    </row>
    <row r="33" spans="1:9" ht="18.75" x14ac:dyDescent="0.2">
      <c r="A33" s="151" t="s">
        <v>3</v>
      </c>
      <c r="B33" s="140" t="s">
        <v>14</v>
      </c>
      <c r="C33" s="106">
        <v>44.41</v>
      </c>
      <c r="D33" s="106">
        <v>131.65</v>
      </c>
      <c r="E33" s="110">
        <f>SUM(D33*103.7%)</f>
        <v>136.52105</v>
      </c>
      <c r="F33" s="110">
        <f>SUM(E33*103.8%)</f>
        <v>141.70884990000002</v>
      </c>
      <c r="G33" s="110">
        <f>SUM(E33*103%)</f>
        <v>140.6166815</v>
      </c>
      <c r="H33" s="110">
        <f>SUM(F33*103.4%)</f>
        <v>146.52695079660003</v>
      </c>
      <c r="I33" s="110">
        <f>SUM(H33*101.9%)</f>
        <v>149.31096286173545</v>
      </c>
    </row>
    <row r="34" spans="1:9" ht="37.5" customHeight="1" x14ac:dyDescent="0.2">
      <c r="A34" s="150" t="s">
        <v>19</v>
      </c>
      <c r="B34" s="140"/>
      <c r="C34" s="106"/>
      <c r="D34" s="106"/>
      <c r="E34" s="110"/>
      <c r="F34" s="110"/>
      <c r="G34" s="110"/>
      <c r="H34" s="110"/>
      <c r="I34" s="110"/>
    </row>
    <row r="35" spans="1:9" ht="37.5" x14ac:dyDescent="0.2">
      <c r="A35" s="151" t="s">
        <v>108</v>
      </c>
      <c r="B35" s="140" t="s">
        <v>12</v>
      </c>
      <c r="C35" s="106">
        <v>622.53</v>
      </c>
      <c r="D35" s="106">
        <v>751.71100000000001</v>
      </c>
      <c r="E35" s="110">
        <f>SUM(D35*107.5%)</f>
        <v>808.08932500000003</v>
      </c>
      <c r="F35" s="110">
        <f>SUM(E35*106.1%)</f>
        <v>857.38277382499996</v>
      </c>
      <c r="G35" s="110">
        <f>SUM(E35*106.1%)</f>
        <v>857.38277382499996</v>
      </c>
      <c r="H35" s="110">
        <f>SUM(F35*105.1%)</f>
        <v>901.1092952900749</v>
      </c>
      <c r="I35" s="110">
        <f>SUM(H35*104.7%)</f>
        <v>943.46143216870837</v>
      </c>
    </row>
    <row r="36" spans="1:9" ht="18.75" x14ac:dyDescent="0.2">
      <c r="A36" s="151" t="s">
        <v>3</v>
      </c>
      <c r="B36" s="140" t="s">
        <v>14</v>
      </c>
      <c r="C36" s="106">
        <v>71.28</v>
      </c>
      <c r="D36" s="106">
        <v>93.37</v>
      </c>
      <c r="E36" s="110">
        <f>SUM(D36*107.5%)</f>
        <v>100.37275</v>
      </c>
      <c r="F36" s="110">
        <f>SUM(E36*106.1%)</f>
        <v>106.49548775</v>
      </c>
      <c r="G36" s="110">
        <f>SUM(E36*106.1%)</f>
        <v>106.49548775</v>
      </c>
      <c r="H36" s="110">
        <f>SUM(F36*105.1%)</f>
        <v>111.92675762524999</v>
      </c>
      <c r="I36" s="110">
        <f>SUM(H36*104.7%)</f>
        <v>117.18731523363674</v>
      </c>
    </row>
    <row r="37" spans="1:9" ht="18.75" x14ac:dyDescent="0.2">
      <c r="A37" s="152" t="s">
        <v>20</v>
      </c>
      <c r="B37" s="153"/>
      <c r="C37" s="106"/>
      <c r="D37" s="106"/>
      <c r="E37" s="110"/>
      <c r="F37" s="154"/>
      <c r="G37" s="110"/>
      <c r="H37" s="154"/>
      <c r="I37" s="110"/>
    </row>
    <row r="38" spans="1:9" ht="18.75" x14ac:dyDescent="0.2">
      <c r="A38" s="155" t="s">
        <v>21</v>
      </c>
      <c r="B38" s="140" t="s">
        <v>12</v>
      </c>
      <c r="C38" s="106">
        <v>0</v>
      </c>
      <c r="D38" s="106">
        <v>0</v>
      </c>
      <c r="E38" s="110">
        <v>0</v>
      </c>
      <c r="F38" s="110">
        <v>0</v>
      </c>
      <c r="G38" s="110">
        <v>0</v>
      </c>
      <c r="H38" s="110">
        <v>0</v>
      </c>
      <c r="I38" s="110">
        <v>0</v>
      </c>
    </row>
    <row r="39" spans="1:9" ht="37.5" x14ac:dyDescent="0.2">
      <c r="A39" s="155" t="s">
        <v>4</v>
      </c>
      <c r="B39" s="140" t="s">
        <v>14</v>
      </c>
      <c r="C39" s="106"/>
      <c r="D39" s="106"/>
      <c r="E39" s="110"/>
      <c r="F39" s="110"/>
      <c r="G39" s="110"/>
      <c r="H39" s="110"/>
      <c r="I39" s="110"/>
    </row>
    <row r="40" spans="1:9" ht="18.75" x14ac:dyDescent="0.2">
      <c r="A40" s="152" t="s">
        <v>22</v>
      </c>
      <c r="B40" s="153"/>
      <c r="C40" s="106"/>
      <c r="D40" s="106"/>
      <c r="E40" s="110"/>
      <c r="F40" s="154"/>
      <c r="G40" s="110"/>
      <c r="H40" s="154"/>
      <c r="I40" s="110"/>
    </row>
    <row r="41" spans="1:9" ht="37.5" x14ac:dyDescent="0.2">
      <c r="A41" s="155" t="s">
        <v>5</v>
      </c>
      <c r="B41" s="140" t="s">
        <v>12</v>
      </c>
      <c r="C41" s="106">
        <v>2299.4899999999998</v>
      </c>
      <c r="D41" s="106">
        <v>1779.86</v>
      </c>
      <c r="E41" s="133">
        <f>SUM(D41*106.5%)</f>
        <v>1895.5508999999997</v>
      </c>
      <c r="F41" s="133">
        <f>SUM(E41*104.9%)</f>
        <v>1988.4328941000001</v>
      </c>
      <c r="G41" s="134">
        <f>SUM(E41*104%)</f>
        <v>1971.3729359999998</v>
      </c>
      <c r="H41" s="135">
        <f>SUM(F41*104.5%)</f>
        <v>2077.9123743344999</v>
      </c>
      <c r="I41" s="134">
        <f>SUM(H41*104%)</f>
        <v>2161.0288693078801</v>
      </c>
    </row>
    <row r="42" spans="1:9" ht="18.75" x14ac:dyDescent="0.2">
      <c r="A42" s="155" t="s">
        <v>23</v>
      </c>
      <c r="B42" s="140" t="s">
        <v>24</v>
      </c>
      <c r="C42" s="106">
        <v>18300</v>
      </c>
      <c r="D42" s="106">
        <v>16817</v>
      </c>
      <c r="E42" s="156">
        <v>8120.8</v>
      </c>
      <c r="F42" s="156">
        <f>SUM(E42*100%)</f>
        <v>8120.8</v>
      </c>
      <c r="G42" s="156">
        <f t="shared" ref="G42:I42" si="5">SUM(F42*100%)</f>
        <v>8120.8</v>
      </c>
      <c r="H42" s="156">
        <f t="shared" si="5"/>
        <v>8120.8</v>
      </c>
      <c r="I42" s="156">
        <f t="shared" si="5"/>
        <v>8120.8</v>
      </c>
    </row>
    <row r="43" spans="1:9" ht="18.75" x14ac:dyDescent="0.2">
      <c r="A43" s="155" t="s">
        <v>25</v>
      </c>
      <c r="B43" s="140" t="s">
        <v>24</v>
      </c>
      <c r="C43" s="106">
        <v>0.45</v>
      </c>
      <c r="D43" s="106">
        <v>0.42</v>
      </c>
      <c r="E43" s="110">
        <v>0.42</v>
      </c>
      <c r="F43" s="110">
        <v>0.42</v>
      </c>
      <c r="G43" s="110">
        <v>0.42</v>
      </c>
      <c r="H43" s="110">
        <v>0.42</v>
      </c>
      <c r="I43" s="110">
        <v>0.42</v>
      </c>
    </row>
    <row r="44" spans="1:9" ht="18.75" x14ac:dyDescent="0.2">
      <c r="A44" s="152" t="s">
        <v>26</v>
      </c>
      <c r="B44" s="153"/>
      <c r="C44" s="106"/>
      <c r="D44" s="106"/>
      <c r="E44" s="106"/>
      <c r="F44" s="157"/>
      <c r="G44" s="106"/>
      <c r="H44" s="157"/>
      <c r="I44" s="106"/>
    </row>
    <row r="45" spans="1:9" ht="18.75" x14ac:dyDescent="0.2">
      <c r="A45" s="155" t="s">
        <v>27</v>
      </c>
      <c r="B45" s="140" t="s">
        <v>12</v>
      </c>
      <c r="C45" s="106">
        <v>3688.1060000000002</v>
      </c>
      <c r="D45" s="106">
        <v>3481.5729999999999</v>
      </c>
      <c r="E45" s="106">
        <f>SUM(D45*97.3%)</f>
        <v>3387.5705289999996</v>
      </c>
      <c r="F45" s="106">
        <f>SUM(E45*101.1%)</f>
        <v>3424.8338048189994</v>
      </c>
      <c r="G45" s="107">
        <f>SUM(E45*100%)</f>
        <v>3387.5705289999996</v>
      </c>
      <c r="H45" s="106">
        <f>SUM(F45*102.6%)</f>
        <v>3513.8794837442933</v>
      </c>
      <c r="I45" s="107">
        <f>SUM(H45*103.3%)</f>
        <v>3629.8375067078546</v>
      </c>
    </row>
    <row r="46" spans="1:9" ht="18.75" x14ac:dyDescent="0.2">
      <c r="A46" s="155" t="s">
        <v>28</v>
      </c>
      <c r="B46" s="140" t="s">
        <v>14</v>
      </c>
      <c r="C46" s="106"/>
      <c r="D46" s="106"/>
      <c r="E46" s="106"/>
      <c r="F46" s="106"/>
      <c r="G46" s="106"/>
      <c r="H46" s="106"/>
      <c r="I46" s="106"/>
    </row>
    <row r="47" spans="1:9" ht="18.75" x14ac:dyDescent="0.2">
      <c r="A47" s="152" t="s">
        <v>29</v>
      </c>
      <c r="B47" s="153"/>
      <c r="C47" s="106"/>
      <c r="D47" s="106"/>
      <c r="E47" s="106"/>
      <c r="F47" s="106"/>
      <c r="G47" s="106"/>
      <c r="H47" s="106"/>
      <c r="I47" s="106"/>
    </row>
    <row r="48" spans="1:9" ht="37.5" x14ac:dyDescent="0.2">
      <c r="A48" s="155" t="s">
        <v>113</v>
      </c>
      <c r="B48" s="140" t="s">
        <v>30</v>
      </c>
      <c r="C48" s="106">
        <v>320</v>
      </c>
      <c r="D48" s="106">
        <v>353</v>
      </c>
      <c r="E48" s="106">
        <v>312</v>
      </c>
      <c r="F48" s="106">
        <v>312</v>
      </c>
      <c r="G48" s="107">
        <v>312</v>
      </c>
      <c r="H48" s="106">
        <v>312</v>
      </c>
      <c r="I48" s="107">
        <v>312</v>
      </c>
    </row>
    <row r="49" spans="1:9" ht="18.75" x14ac:dyDescent="0.2">
      <c r="A49" s="155" t="s">
        <v>103</v>
      </c>
      <c r="B49" s="140"/>
      <c r="C49" s="106"/>
      <c r="D49" s="106"/>
      <c r="E49" s="106"/>
      <c r="F49" s="106"/>
      <c r="G49" s="107"/>
      <c r="H49" s="106"/>
      <c r="I49" s="107"/>
    </row>
    <row r="50" spans="1:9" ht="18.75" x14ac:dyDescent="0.2">
      <c r="A50" s="155" t="s">
        <v>272</v>
      </c>
      <c r="B50" s="140" t="s">
        <v>30</v>
      </c>
      <c r="C50" s="106">
        <v>2</v>
      </c>
      <c r="D50" s="106">
        <v>2</v>
      </c>
      <c r="E50" s="106">
        <v>1</v>
      </c>
      <c r="F50" s="106">
        <v>1</v>
      </c>
      <c r="G50" s="107">
        <v>1</v>
      </c>
      <c r="H50" s="106">
        <v>1</v>
      </c>
      <c r="I50" s="107">
        <v>1</v>
      </c>
    </row>
    <row r="51" spans="1:9" ht="18.75" x14ac:dyDescent="0.2">
      <c r="A51" s="155" t="s">
        <v>100</v>
      </c>
      <c r="B51" s="140" t="s">
        <v>30</v>
      </c>
      <c r="C51" s="106">
        <v>1</v>
      </c>
      <c r="D51" s="106">
        <v>2</v>
      </c>
      <c r="E51" s="106">
        <v>2</v>
      </c>
      <c r="F51" s="106">
        <v>2</v>
      </c>
      <c r="G51" s="107">
        <v>2</v>
      </c>
      <c r="H51" s="106">
        <v>2</v>
      </c>
      <c r="I51" s="107">
        <v>2</v>
      </c>
    </row>
    <row r="52" spans="1:9" ht="18.75" x14ac:dyDescent="0.2">
      <c r="A52" s="155" t="s">
        <v>71</v>
      </c>
      <c r="B52" s="140" t="s">
        <v>30</v>
      </c>
      <c r="C52" s="106">
        <v>0</v>
      </c>
      <c r="D52" s="106">
        <v>0</v>
      </c>
      <c r="E52" s="106">
        <v>0</v>
      </c>
      <c r="F52" s="106">
        <v>0</v>
      </c>
      <c r="G52" s="107">
        <v>0</v>
      </c>
      <c r="H52" s="106">
        <v>0</v>
      </c>
      <c r="I52" s="107">
        <v>0</v>
      </c>
    </row>
    <row r="53" spans="1:9" ht="18.75" x14ac:dyDescent="0.2">
      <c r="A53" s="155" t="s">
        <v>72</v>
      </c>
      <c r="B53" s="140" t="s">
        <v>30</v>
      </c>
      <c r="C53" s="106">
        <v>43</v>
      </c>
      <c r="D53" s="106">
        <v>42</v>
      </c>
      <c r="E53" s="106">
        <v>20</v>
      </c>
      <c r="F53" s="106">
        <v>20</v>
      </c>
      <c r="G53" s="107">
        <v>20</v>
      </c>
      <c r="H53" s="106">
        <v>20</v>
      </c>
      <c r="I53" s="107">
        <v>20</v>
      </c>
    </row>
    <row r="54" spans="1:9" ht="20.25" customHeight="1" x14ac:dyDescent="0.2">
      <c r="A54" s="155" t="s">
        <v>73</v>
      </c>
      <c r="B54" s="140" t="s">
        <v>30</v>
      </c>
      <c r="C54" s="106">
        <v>8</v>
      </c>
      <c r="D54" s="106">
        <v>7</v>
      </c>
      <c r="E54" s="106">
        <v>7</v>
      </c>
      <c r="F54" s="106">
        <v>7</v>
      </c>
      <c r="G54" s="107">
        <v>7</v>
      </c>
      <c r="H54" s="106">
        <v>7</v>
      </c>
      <c r="I54" s="107">
        <v>7</v>
      </c>
    </row>
    <row r="55" spans="1:9" ht="18.75" x14ac:dyDescent="0.2">
      <c r="A55" s="155" t="s">
        <v>22</v>
      </c>
      <c r="B55" s="140" t="s">
        <v>30</v>
      </c>
      <c r="C55" s="106">
        <v>28</v>
      </c>
      <c r="D55" s="106">
        <v>33</v>
      </c>
      <c r="E55" s="106">
        <v>24</v>
      </c>
      <c r="F55" s="106">
        <v>24</v>
      </c>
      <c r="G55" s="107">
        <v>24</v>
      </c>
      <c r="H55" s="106">
        <v>24</v>
      </c>
      <c r="I55" s="107">
        <v>24</v>
      </c>
    </row>
    <row r="56" spans="1:9" ht="18.75" x14ac:dyDescent="0.2">
      <c r="A56" s="155" t="s">
        <v>26</v>
      </c>
      <c r="B56" s="140" t="s">
        <v>30</v>
      </c>
      <c r="C56" s="106">
        <v>101</v>
      </c>
      <c r="D56" s="106">
        <v>109</v>
      </c>
      <c r="E56" s="106">
        <v>108</v>
      </c>
      <c r="F56" s="106">
        <v>108</v>
      </c>
      <c r="G56" s="107">
        <v>108</v>
      </c>
      <c r="H56" s="106">
        <v>108</v>
      </c>
      <c r="I56" s="107">
        <v>108</v>
      </c>
    </row>
    <row r="57" spans="1:9" ht="18.75" x14ac:dyDescent="0.2">
      <c r="A57" s="155" t="s">
        <v>74</v>
      </c>
      <c r="B57" s="140" t="s">
        <v>30</v>
      </c>
      <c r="C57" s="106">
        <v>47</v>
      </c>
      <c r="D57" s="106">
        <v>46</v>
      </c>
      <c r="E57" s="106">
        <v>36</v>
      </c>
      <c r="F57" s="106">
        <v>36</v>
      </c>
      <c r="G57" s="107">
        <v>36</v>
      </c>
      <c r="H57" s="106">
        <v>36</v>
      </c>
      <c r="I57" s="107">
        <v>36</v>
      </c>
    </row>
    <row r="58" spans="1:9" ht="18.75" x14ac:dyDescent="0.2">
      <c r="A58" s="155" t="s">
        <v>79</v>
      </c>
      <c r="B58" s="140" t="s">
        <v>30</v>
      </c>
      <c r="C58" s="158">
        <v>90</v>
      </c>
      <c r="D58" s="158">
        <v>112</v>
      </c>
      <c r="E58" s="158">
        <v>114</v>
      </c>
      <c r="F58" s="158">
        <v>114</v>
      </c>
      <c r="G58" s="158">
        <v>114</v>
      </c>
      <c r="H58" s="158">
        <v>114</v>
      </c>
      <c r="I58" s="158">
        <v>114</v>
      </c>
    </row>
    <row r="59" spans="1:9" ht="37.5" x14ac:dyDescent="0.25">
      <c r="A59" s="155" t="s">
        <v>114</v>
      </c>
      <c r="B59" s="140" t="s">
        <v>14</v>
      </c>
      <c r="C59" s="159">
        <v>24.9</v>
      </c>
      <c r="D59" s="159">
        <v>28.1</v>
      </c>
      <c r="E59" s="159">
        <v>28.1</v>
      </c>
      <c r="F59" s="159">
        <v>28.3</v>
      </c>
      <c r="G59" s="159">
        <v>28.4</v>
      </c>
      <c r="H59" s="159">
        <v>28.6</v>
      </c>
      <c r="I59" s="159">
        <v>29</v>
      </c>
    </row>
    <row r="60" spans="1:9" ht="19.5" x14ac:dyDescent="0.2">
      <c r="A60" s="160" t="s">
        <v>111</v>
      </c>
      <c r="B60" s="140" t="s">
        <v>30</v>
      </c>
      <c r="C60" s="137">
        <v>298</v>
      </c>
      <c r="D60" s="137">
        <v>331</v>
      </c>
      <c r="E60" s="137">
        <v>290</v>
      </c>
      <c r="F60" s="137">
        <v>290</v>
      </c>
      <c r="G60" s="138">
        <v>290</v>
      </c>
      <c r="H60" s="137">
        <v>290</v>
      </c>
      <c r="I60" s="138">
        <v>290</v>
      </c>
    </row>
    <row r="61" spans="1:9" ht="37.5" x14ac:dyDescent="0.2">
      <c r="A61" s="155" t="s">
        <v>122</v>
      </c>
      <c r="B61" s="140"/>
      <c r="C61" s="106">
        <v>17</v>
      </c>
      <c r="D61" s="106">
        <v>16.399999999999999</v>
      </c>
      <c r="E61" s="106">
        <v>16.399999999999999</v>
      </c>
      <c r="F61" s="106">
        <v>16.600000000000001</v>
      </c>
      <c r="G61" s="107">
        <v>16.7</v>
      </c>
      <c r="H61" s="106">
        <v>16.899999999999999</v>
      </c>
      <c r="I61" s="107">
        <v>17.2</v>
      </c>
    </row>
    <row r="62" spans="1:9" ht="18.75" x14ac:dyDescent="0.2">
      <c r="A62" s="155" t="s">
        <v>101</v>
      </c>
      <c r="B62" s="140" t="s">
        <v>30</v>
      </c>
      <c r="C62" s="106">
        <v>1159</v>
      </c>
      <c r="D62" s="106">
        <v>1075</v>
      </c>
      <c r="E62" s="106">
        <v>929</v>
      </c>
      <c r="F62" s="106">
        <v>929</v>
      </c>
      <c r="G62" s="107">
        <v>929</v>
      </c>
      <c r="H62" s="106">
        <v>929</v>
      </c>
      <c r="I62" s="107">
        <v>929</v>
      </c>
    </row>
    <row r="63" spans="1:9" ht="39" x14ac:dyDescent="0.2">
      <c r="A63" s="142" t="s">
        <v>6</v>
      </c>
      <c r="B63" s="118" t="s">
        <v>12</v>
      </c>
      <c r="C63" s="158">
        <v>2050.96</v>
      </c>
      <c r="D63" s="158">
        <v>723.64</v>
      </c>
      <c r="E63" s="158">
        <f>SUM(D63*96.9%)</f>
        <v>701.20716000000004</v>
      </c>
      <c r="F63" s="158">
        <f>SUM(E63*100.8%)</f>
        <v>706.81681728000001</v>
      </c>
      <c r="G63" s="161">
        <f>SUM(E63*103.8%)</f>
        <v>727.85303208000005</v>
      </c>
      <c r="H63" s="158">
        <f>SUM(E63*103%)</f>
        <v>722.24337480000008</v>
      </c>
      <c r="I63" s="161">
        <f>SUM(E63*104.2%)</f>
        <v>730.65786072000003</v>
      </c>
    </row>
    <row r="64" spans="1:9" ht="18.75" x14ac:dyDescent="0.2">
      <c r="A64" s="278" t="s">
        <v>175</v>
      </c>
      <c r="B64" s="279"/>
      <c r="C64" s="279"/>
      <c r="D64" s="279"/>
      <c r="E64" s="279"/>
      <c r="F64" s="279"/>
      <c r="G64" s="279"/>
      <c r="H64" s="279"/>
      <c r="I64" s="280"/>
    </row>
    <row r="65" spans="1:9" ht="19.5" x14ac:dyDescent="0.2">
      <c r="A65" s="162" t="s">
        <v>176</v>
      </c>
      <c r="B65" s="119" t="s">
        <v>32</v>
      </c>
      <c r="C65" s="163">
        <v>39.832999999999998</v>
      </c>
      <c r="D65" s="163">
        <v>39.671999999999997</v>
      </c>
      <c r="E65" s="163">
        <v>39.750999999999998</v>
      </c>
      <c r="F65" s="164">
        <v>39.83</v>
      </c>
      <c r="G65" s="163">
        <v>39.83</v>
      </c>
      <c r="H65" s="164">
        <v>39.869999999999997</v>
      </c>
      <c r="I65" s="163">
        <v>39.909999999999997</v>
      </c>
    </row>
    <row r="66" spans="1:9" ht="39" x14ac:dyDescent="0.2">
      <c r="A66" s="162" t="s">
        <v>116</v>
      </c>
      <c r="B66" s="119" t="s">
        <v>32</v>
      </c>
      <c r="C66" s="163">
        <v>13.33</v>
      </c>
      <c r="D66" s="163">
        <v>13.228999999999999</v>
      </c>
      <c r="E66" s="163">
        <f>SUM(D66*99.7%)</f>
        <v>13.189312999999999</v>
      </c>
      <c r="F66" s="163">
        <f>SUM(E66*99.4%)</f>
        <v>13.110177122</v>
      </c>
      <c r="G66" s="163">
        <f>SUM(E66*99.4%)</f>
        <v>13.110177122</v>
      </c>
      <c r="H66" s="163">
        <f>SUM(F66*99.5%)</f>
        <v>13.04462623639</v>
      </c>
      <c r="I66" s="163">
        <f>SUM(H66*99.3%)</f>
        <v>12.95331385273527</v>
      </c>
    </row>
    <row r="67" spans="1:9" ht="19.5" x14ac:dyDescent="0.2">
      <c r="A67" s="165" t="s">
        <v>33</v>
      </c>
      <c r="B67" s="140"/>
      <c r="C67" s="110"/>
      <c r="D67" s="110"/>
      <c r="E67" s="110"/>
      <c r="F67" s="154"/>
      <c r="G67" s="110"/>
      <c r="H67" s="154"/>
      <c r="I67" s="110"/>
    </row>
    <row r="68" spans="1:9" ht="18.75" x14ac:dyDescent="0.3">
      <c r="A68" s="166" t="s">
        <v>271</v>
      </c>
      <c r="B68" s="140" t="s">
        <v>32</v>
      </c>
      <c r="C68" s="110">
        <v>0</v>
      </c>
      <c r="D68" s="110">
        <v>2E-3</v>
      </c>
      <c r="E68" s="167">
        <f>SUM(D68*99.7%)</f>
        <v>1.9940000000000001E-3</v>
      </c>
      <c r="F68" s="163">
        <f t="shared" ref="F68:F80" si="6">SUM(E68*99.4%)</f>
        <v>1.9820360000000004E-3</v>
      </c>
      <c r="G68" s="163">
        <f t="shared" ref="G68:G80" si="7">SUM(E68*99.4%)</f>
        <v>1.9820360000000004E-3</v>
      </c>
      <c r="H68" s="163">
        <f t="shared" ref="H68:H80" si="8">SUM(F68*99.5%)</f>
        <v>1.9721258200000005E-3</v>
      </c>
      <c r="I68" s="163">
        <f t="shared" ref="I68:I80" si="9">SUM(H68*99.3%)</f>
        <v>1.9583209392600004E-3</v>
      </c>
    </row>
    <row r="69" spans="1:9" ht="18.75" x14ac:dyDescent="0.2">
      <c r="A69" s="139" t="s">
        <v>83</v>
      </c>
      <c r="B69" s="140" t="s">
        <v>32</v>
      </c>
      <c r="C69" s="110">
        <v>0.02</v>
      </c>
      <c r="D69" s="110">
        <v>1.6E-2</v>
      </c>
      <c r="E69" s="167">
        <f t="shared" ref="E69:E80" si="10">SUM(D69*99.7%)</f>
        <v>1.5952000000000001E-2</v>
      </c>
      <c r="F69" s="163">
        <f t="shared" si="6"/>
        <v>1.5856288000000003E-2</v>
      </c>
      <c r="G69" s="163">
        <f t="shared" si="7"/>
        <v>1.5856288000000003E-2</v>
      </c>
      <c r="H69" s="163">
        <f t="shared" si="8"/>
        <v>1.5777006560000004E-2</v>
      </c>
      <c r="I69" s="163">
        <f t="shared" si="9"/>
        <v>1.5666567514080004E-2</v>
      </c>
    </row>
    <row r="70" spans="1:9" ht="18.75" x14ac:dyDescent="0.3">
      <c r="A70" s="168" t="s">
        <v>71</v>
      </c>
      <c r="B70" s="140" t="s">
        <v>32</v>
      </c>
      <c r="C70" s="110">
        <v>0.51100000000000001</v>
      </c>
      <c r="D70" s="110">
        <v>0.38600000000000001</v>
      </c>
      <c r="E70" s="167">
        <f t="shared" si="10"/>
        <v>0.38484200000000002</v>
      </c>
      <c r="F70" s="163">
        <f t="shared" si="6"/>
        <v>0.38253294800000004</v>
      </c>
      <c r="G70" s="163">
        <f t="shared" si="7"/>
        <v>0.38253294800000004</v>
      </c>
      <c r="H70" s="163">
        <f t="shared" si="8"/>
        <v>0.38062028326000003</v>
      </c>
      <c r="I70" s="163">
        <f t="shared" si="9"/>
        <v>0.37795594127718002</v>
      </c>
    </row>
    <row r="71" spans="1:9" ht="18.75" x14ac:dyDescent="0.3">
      <c r="A71" s="168" t="s">
        <v>72</v>
      </c>
      <c r="B71" s="140" t="s">
        <v>32</v>
      </c>
      <c r="C71" s="110">
        <v>1.3180000000000001</v>
      </c>
      <c r="D71" s="110">
        <v>1.2010000000000001</v>
      </c>
      <c r="E71" s="167">
        <f t="shared" si="10"/>
        <v>1.197397</v>
      </c>
      <c r="F71" s="163">
        <f t="shared" si="6"/>
        <v>1.1902126180000001</v>
      </c>
      <c r="G71" s="163">
        <f t="shared" si="7"/>
        <v>1.1902126180000001</v>
      </c>
      <c r="H71" s="163">
        <f>SUM(F71*99.5%)</f>
        <v>1.1842615549100002</v>
      </c>
      <c r="I71" s="163">
        <f t="shared" si="9"/>
        <v>1.1759717240256302</v>
      </c>
    </row>
    <row r="72" spans="1:9" ht="18.75" x14ac:dyDescent="0.3">
      <c r="A72" s="168" t="s">
        <v>73</v>
      </c>
      <c r="B72" s="140" t="s">
        <v>32</v>
      </c>
      <c r="C72" s="110">
        <v>0.73499999999999999</v>
      </c>
      <c r="D72" s="110">
        <v>0.874</v>
      </c>
      <c r="E72" s="167">
        <f t="shared" si="10"/>
        <v>0.87137799999999999</v>
      </c>
      <c r="F72" s="163">
        <f t="shared" si="6"/>
        <v>0.86614973200000012</v>
      </c>
      <c r="G72" s="163">
        <f t="shared" si="7"/>
        <v>0.86614973200000012</v>
      </c>
      <c r="H72" s="163">
        <f t="shared" si="8"/>
        <v>0.86181898334000007</v>
      </c>
      <c r="I72" s="163">
        <f t="shared" si="9"/>
        <v>0.85578625045662005</v>
      </c>
    </row>
    <row r="73" spans="1:9" ht="18.75" x14ac:dyDescent="0.3">
      <c r="A73" s="168" t="s">
        <v>22</v>
      </c>
      <c r="B73" s="140" t="s">
        <v>32</v>
      </c>
      <c r="C73" s="110">
        <v>0.56799999999999995</v>
      </c>
      <c r="D73" s="110">
        <v>0.81</v>
      </c>
      <c r="E73" s="167">
        <f t="shared" si="10"/>
        <v>0.80757000000000001</v>
      </c>
      <c r="F73" s="163">
        <f t="shared" si="6"/>
        <v>0.80272458000000013</v>
      </c>
      <c r="G73" s="163">
        <f t="shared" si="7"/>
        <v>0.80272458000000013</v>
      </c>
      <c r="H73" s="163">
        <f t="shared" si="8"/>
        <v>0.79871095710000017</v>
      </c>
      <c r="I73" s="163">
        <f t="shared" si="9"/>
        <v>0.79311998040030018</v>
      </c>
    </row>
    <row r="74" spans="1:9" ht="56.25" x14ac:dyDescent="0.2">
      <c r="A74" s="139" t="s">
        <v>2</v>
      </c>
      <c r="B74" s="140" t="s">
        <v>32</v>
      </c>
      <c r="C74" s="110">
        <v>0.223</v>
      </c>
      <c r="D74" s="110">
        <v>0.23899999999999999</v>
      </c>
      <c r="E74" s="167">
        <f t="shared" si="10"/>
        <v>0.23828299999999999</v>
      </c>
      <c r="F74" s="163">
        <f t="shared" si="6"/>
        <v>0.23685330200000002</v>
      </c>
      <c r="G74" s="163">
        <f t="shared" si="7"/>
        <v>0.23685330200000002</v>
      </c>
      <c r="H74" s="163">
        <f t="shared" si="8"/>
        <v>0.23566903549000001</v>
      </c>
      <c r="I74" s="163">
        <f t="shared" si="9"/>
        <v>0.23401935224157</v>
      </c>
    </row>
    <row r="75" spans="1:9" ht="18.75" x14ac:dyDescent="0.3">
      <c r="A75" s="168" t="s">
        <v>74</v>
      </c>
      <c r="B75" s="140" t="s">
        <v>32</v>
      </c>
      <c r="C75" s="110">
        <v>2.5</v>
      </c>
      <c r="D75" s="110">
        <v>2.0110000000000001</v>
      </c>
      <c r="E75" s="167">
        <f t="shared" si="10"/>
        <v>2.0049670000000002</v>
      </c>
      <c r="F75" s="163">
        <f t="shared" si="6"/>
        <v>1.9929371980000004</v>
      </c>
      <c r="G75" s="163">
        <f t="shared" si="7"/>
        <v>1.9929371980000004</v>
      </c>
      <c r="H75" s="163">
        <f t="shared" si="8"/>
        <v>1.9829725120100004</v>
      </c>
      <c r="I75" s="163">
        <f t="shared" si="9"/>
        <v>1.9690917044259304</v>
      </c>
    </row>
    <row r="76" spans="1:9" ht="37.5" x14ac:dyDescent="0.2">
      <c r="A76" s="139" t="s">
        <v>70</v>
      </c>
      <c r="B76" s="140" t="s">
        <v>32</v>
      </c>
      <c r="C76" s="110">
        <v>0.7</v>
      </c>
      <c r="D76" s="110">
        <v>0.85499999999999998</v>
      </c>
      <c r="E76" s="167">
        <f t="shared" si="10"/>
        <v>0.85243499999999994</v>
      </c>
      <c r="F76" s="163">
        <f t="shared" si="6"/>
        <v>0.84732039000000003</v>
      </c>
      <c r="G76" s="163">
        <f t="shared" si="7"/>
        <v>0.84732039000000003</v>
      </c>
      <c r="H76" s="163">
        <f t="shared" si="8"/>
        <v>0.84308378805000006</v>
      </c>
      <c r="I76" s="163">
        <f t="shared" si="9"/>
        <v>0.83718220153365008</v>
      </c>
    </row>
    <row r="77" spans="1:9" ht="18.75" x14ac:dyDescent="0.3">
      <c r="A77" s="168" t="s">
        <v>75</v>
      </c>
      <c r="B77" s="140" t="s">
        <v>32</v>
      </c>
      <c r="C77" s="110">
        <v>1.63</v>
      </c>
      <c r="D77" s="110">
        <v>1.925</v>
      </c>
      <c r="E77" s="167">
        <f t="shared" si="10"/>
        <v>1.919225</v>
      </c>
      <c r="F77" s="163">
        <f t="shared" si="6"/>
        <v>1.9077096500000001</v>
      </c>
      <c r="G77" s="163">
        <f t="shared" si="7"/>
        <v>1.9077096500000001</v>
      </c>
      <c r="H77" s="163">
        <f t="shared" si="8"/>
        <v>1.89817110175</v>
      </c>
      <c r="I77" s="163">
        <f t="shared" si="9"/>
        <v>1.8848839040377501</v>
      </c>
    </row>
    <row r="78" spans="1:9" ht="18.75" x14ac:dyDescent="0.3">
      <c r="A78" s="168" t="s">
        <v>76</v>
      </c>
      <c r="B78" s="140" t="s">
        <v>32</v>
      </c>
      <c r="C78" s="110">
        <v>0.95</v>
      </c>
      <c r="D78" s="110">
        <v>1.181</v>
      </c>
      <c r="E78" s="167">
        <f t="shared" si="10"/>
        <v>1.177457</v>
      </c>
      <c r="F78" s="163">
        <f t="shared" si="6"/>
        <v>1.1703922580000001</v>
      </c>
      <c r="G78" s="163">
        <f t="shared" si="7"/>
        <v>1.1703922580000001</v>
      </c>
      <c r="H78" s="163">
        <f t="shared" si="8"/>
        <v>1.16454029671</v>
      </c>
      <c r="I78" s="163">
        <f t="shared" si="9"/>
        <v>1.1563885146330299</v>
      </c>
    </row>
    <row r="79" spans="1:9" ht="37.5" x14ac:dyDescent="0.3">
      <c r="A79" s="166" t="s">
        <v>77</v>
      </c>
      <c r="B79" s="140" t="s">
        <v>32</v>
      </c>
      <c r="C79" s="110">
        <v>0.3</v>
      </c>
      <c r="D79" s="110">
        <v>0</v>
      </c>
      <c r="E79" s="167">
        <f t="shared" si="10"/>
        <v>0</v>
      </c>
      <c r="F79" s="163">
        <f t="shared" si="6"/>
        <v>0</v>
      </c>
      <c r="G79" s="163">
        <f t="shared" si="7"/>
        <v>0</v>
      </c>
      <c r="H79" s="163">
        <f t="shared" si="8"/>
        <v>0</v>
      </c>
      <c r="I79" s="163">
        <f t="shared" si="9"/>
        <v>0</v>
      </c>
    </row>
    <row r="80" spans="1:9" ht="18.75" x14ac:dyDescent="0.3">
      <c r="A80" s="168" t="s">
        <v>79</v>
      </c>
      <c r="B80" s="140" t="s">
        <v>32</v>
      </c>
      <c r="C80" s="110">
        <v>3.875</v>
      </c>
      <c r="D80" s="110">
        <v>3.7290000000000001</v>
      </c>
      <c r="E80" s="167">
        <f t="shared" si="10"/>
        <v>3.717813</v>
      </c>
      <c r="F80" s="163">
        <f t="shared" si="6"/>
        <v>3.6955061220000003</v>
      </c>
      <c r="G80" s="163">
        <f t="shared" si="7"/>
        <v>3.6955061220000003</v>
      </c>
      <c r="H80" s="163">
        <f t="shared" si="8"/>
        <v>3.67702859139</v>
      </c>
      <c r="I80" s="163">
        <f t="shared" si="9"/>
        <v>3.6512893912502702</v>
      </c>
    </row>
    <row r="81" spans="1:9" ht="54.75" customHeight="1" x14ac:dyDescent="0.3">
      <c r="A81" s="169" t="s">
        <v>89</v>
      </c>
      <c r="B81" s="140" t="s">
        <v>32</v>
      </c>
      <c r="C81" s="110"/>
      <c r="D81" s="110"/>
      <c r="E81" s="110"/>
      <c r="F81" s="110"/>
      <c r="G81" s="110"/>
      <c r="H81" s="110"/>
      <c r="I81" s="110"/>
    </row>
    <row r="82" spans="1:9" ht="18.75" x14ac:dyDescent="0.3">
      <c r="A82" s="170" t="s">
        <v>78</v>
      </c>
      <c r="B82" s="140"/>
      <c r="C82" s="110"/>
      <c r="D82" s="110"/>
      <c r="E82" s="110"/>
      <c r="F82" s="110"/>
      <c r="G82" s="110"/>
      <c r="H82" s="110"/>
      <c r="I82" s="110"/>
    </row>
    <row r="83" spans="1:9" ht="18.75" x14ac:dyDescent="0.3">
      <c r="A83" s="171" t="s">
        <v>75</v>
      </c>
      <c r="B83" s="140" t="s">
        <v>32</v>
      </c>
      <c r="C83" s="110">
        <v>1.385</v>
      </c>
      <c r="D83" s="110">
        <v>1.4410000000000001</v>
      </c>
      <c r="E83" s="167">
        <f t="shared" ref="E83:E86" si="11">SUM(D83*99.7%)</f>
        <v>1.436677</v>
      </c>
      <c r="F83" s="163">
        <f t="shared" ref="F83:F86" si="12">SUM(E83*99.4%)</f>
        <v>1.4280569380000001</v>
      </c>
      <c r="G83" s="163">
        <f t="shared" ref="G83:G86" si="13">SUM(E83*99.4%)</f>
        <v>1.4280569380000001</v>
      </c>
      <c r="H83" s="163">
        <f t="shared" ref="H83:H86" si="14">SUM(F83*99.5%)</f>
        <v>1.4209166533100002</v>
      </c>
      <c r="I83" s="163">
        <f t="shared" ref="I83:I86" si="15">SUM(H83*99.3%)</f>
        <v>1.4109702367368302</v>
      </c>
    </row>
    <row r="84" spans="1:9" ht="18.75" x14ac:dyDescent="0.3">
      <c r="A84" s="171" t="s">
        <v>80</v>
      </c>
      <c r="B84" s="140" t="s">
        <v>32</v>
      </c>
      <c r="C84" s="110">
        <v>0.20200000000000001</v>
      </c>
      <c r="D84" s="110">
        <v>0.17699999999999999</v>
      </c>
      <c r="E84" s="167">
        <f t="shared" si="11"/>
        <v>0.17646899999999999</v>
      </c>
      <c r="F84" s="163">
        <f t="shared" si="12"/>
        <v>0.175410186</v>
      </c>
      <c r="G84" s="163">
        <f t="shared" si="13"/>
        <v>0.175410186</v>
      </c>
      <c r="H84" s="163">
        <f t="shared" si="14"/>
        <v>0.17453313506999998</v>
      </c>
      <c r="I84" s="163">
        <f t="shared" si="15"/>
        <v>0.17331140312450999</v>
      </c>
    </row>
    <row r="85" spans="1:9" ht="18.75" x14ac:dyDescent="0.3">
      <c r="A85" s="171" t="s">
        <v>81</v>
      </c>
      <c r="B85" s="140" t="s">
        <v>32</v>
      </c>
      <c r="C85" s="110">
        <v>0</v>
      </c>
      <c r="D85" s="110">
        <v>0</v>
      </c>
      <c r="E85" s="167">
        <f t="shared" si="11"/>
        <v>0</v>
      </c>
      <c r="F85" s="163">
        <f t="shared" si="12"/>
        <v>0</v>
      </c>
      <c r="G85" s="163">
        <f t="shared" si="13"/>
        <v>0</v>
      </c>
      <c r="H85" s="163">
        <f t="shared" si="14"/>
        <v>0</v>
      </c>
      <c r="I85" s="163">
        <f t="shared" si="15"/>
        <v>0</v>
      </c>
    </row>
    <row r="86" spans="1:9" ht="18.75" x14ac:dyDescent="0.3">
      <c r="A86" s="171" t="s">
        <v>82</v>
      </c>
      <c r="B86" s="140" t="s">
        <v>31</v>
      </c>
      <c r="C86" s="110">
        <v>0.24199999999999999</v>
      </c>
      <c r="D86" s="110">
        <v>0.249</v>
      </c>
      <c r="E86" s="167">
        <f t="shared" si="11"/>
        <v>0.248253</v>
      </c>
      <c r="F86" s="163">
        <f t="shared" si="12"/>
        <v>0.24676348200000003</v>
      </c>
      <c r="G86" s="163">
        <f t="shared" si="13"/>
        <v>0.24676348200000003</v>
      </c>
      <c r="H86" s="163">
        <f t="shared" si="14"/>
        <v>0.24552966459000003</v>
      </c>
      <c r="I86" s="163">
        <f t="shared" si="15"/>
        <v>0.24381095693787003</v>
      </c>
    </row>
    <row r="87" spans="1:9" ht="56.25" x14ac:dyDescent="0.3">
      <c r="A87" s="169" t="s">
        <v>115</v>
      </c>
      <c r="B87" s="140" t="s">
        <v>32</v>
      </c>
      <c r="C87" s="110">
        <v>1.8260000000000001</v>
      </c>
      <c r="D87" s="110">
        <v>1.853</v>
      </c>
      <c r="E87" s="106">
        <v>1.889</v>
      </c>
      <c r="F87" s="106">
        <v>1.889</v>
      </c>
      <c r="G87" s="156">
        <v>1.909</v>
      </c>
      <c r="H87" s="106">
        <v>1.952</v>
      </c>
      <c r="I87" s="107">
        <v>2</v>
      </c>
    </row>
    <row r="88" spans="1:9" ht="19.5" x14ac:dyDescent="0.2">
      <c r="A88" s="165" t="s">
        <v>33</v>
      </c>
      <c r="B88" s="140"/>
      <c r="C88" s="106"/>
      <c r="D88" s="106"/>
      <c r="E88" s="106"/>
      <c r="F88" s="106"/>
      <c r="G88" s="107"/>
      <c r="H88" s="106"/>
      <c r="I88" s="107"/>
    </row>
    <row r="89" spans="1:9" ht="18.75" x14ac:dyDescent="0.3">
      <c r="A89" s="172" t="s">
        <v>272</v>
      </c>
      <c r="B89" s="140" t="s">
        <v>32</v>
      </c>
      <c r="C89" s="156">
        <v>2E-3</v>
      </c>
      <c r="D89" s="156">
        <v>2E-3</v>
      </c>
      <c r="E89" s="156">
        <v>2E-3</v>
      </c>
      <c r="F89" s="156">
        <v>2E-3</v>
      </c>
      <c r="G89" s="156">
        <v>4.0000000000000001E-3</v>
      </c>
      <c r="H89" s="156">
        <v>3.0000000000000001E-3</v>
      </c>
      <c r="I89" s="156">
        <v>4.0000000000000001E-3</v>
      </c>
    </row>
    <row r="90" spans="1:9" ht="18.75" x14ac:dyDescent="0.2">
      <c r="A90" s="173" t="s">
        <v>83</v>
      </c>
      <c r="B90" s="140" t="s">
        <v>31</v>
      </c>
      <c r="C90" s="156">
        <v>2E-3</v>
      </c>
      <c r="D90" s="156">
        <v>2E-3</v>
      </c>
      <c r="E90" s="156">
        <v>2E-3</v>
      </c>
      <c r="F90" s="156">
        <v>2E-3</v>
      </c>
      <c r="G90" s="156">
        <v>2E-3</v>
      </c>
      <c r="H90" s="156">
        <v>2E-3</v>
      </c>
      <c r="I90" s="156">
        <v>2E-3</v>
      </c>
    </row>
    <row r="91" spans="1:9" ht="18.75" x14ac:dyDescent="0.3">
      <c r="A91" s="174" t="s">
        <v>71</v>
      </c>
      <c r="B91" s="140" t="s">
        <v>32</v>
      </c>
      <c r="C91" s="106">
        <v>0</v>
      </c>
      <c r="D91" s="106">
        <v>0</v>
      </c>
      <c r="E91" s="106">
        <v>0</v>
      </c>
      <c r="F91" s="106">
        <v>0</v>
      </c>
      <c r="G91" s="107">
        <v>0</v>
      </c>
      <c r="H91" s="106">
        <v>0</v>
      </c>
      <c r="I91" s="107">
        <v>0</v>
      </c>
    </row>
    <row r="92" spans="1:9" ht="18.75" x14ac:dyDescent="0.3">
      <c r="A92" s="174" t="s">
        <v>72</v>
      </c>
      <c r="B92" s="140" t="s">
        <v>32</v>
      </c>
      <c r="C92" s="156">
        <v>0.436</v>
      </c>
      <c r="D92" s="156">
        <v>0.46400000000000002</v>
      </c>
      <c r="E92" s="156">
        <v>0.5</v>
      </c>
      <c r="F92" s="156">
        <v>0.5</v>
      </c>
      <c r="G92" s="156">
        <v>0.52</v>
      </c>
      <c r="H92" s="156">
        <v>0.56299999999999994</v>
      </c>
      <c r="I92" s="156">
        <v>0.61099999999999999</v>
      </c>
    </row>
    <row r="93" spans="1:9" ht="24" customHeight="1" x14ac:dyDescent="0.2">
      <c r="A93" s="141" t="s">
        <v>73</v>
      </c>
      <c r="B93" s="140" t="s">
        <v>32</v>
      </c>
      <c r="C93" s="106">
        <v>8.1000000000000003E-2</v>
      </c>
      <c r="D93" s="106">
        <v>5.6000000000000001E-2</v>
      </c>
      <c r="E93" s="106">
        <v>5.6000000000000001E-2</v>
      </c>
      <c r="F93" s="106">
        <v>5.6000000000000001E-2</v>
      </c>
      <c r="G93" s="106">
        <v>5.6000000000000001E-2</v>
      </c>
      <c r="H93" s="106">
        <v>5.6000000000000001E-2</v>
      </c>
      <c r="I93" s="106">
        <v>5.6000000000000001E-2</v>
      </c>
    </row>
    <row r="94" spans="1:9" ht="18.75" x14ac:dyDescent="0.3">
      <c r="A94" s="174" t="s">
        <v>22</v>
      </c>
      <c r="B94" s="140" t="s">
        <v>31</v>
      </c>
      <c r="C94" s="106">
        <v>0.14699999999999999</v>
      </c>
      <c r="D94" s="106">
        <v>8.7999999999999995E-2</v>
      </c>
      <c r="E94" s="106">
        <v>6.3E-2</v>
      </c>
      <c r="F94" s="106">
        <v>6.3E-2</v>
      </c>
      <c r="G94" s="107">
        <v>6.3E-2</v>
      </c>
      <c r="H94" s="106">
        <v>6.3E-2</v>
      </c>
      <c r="I94" s="107">
        <v>6.3E-2</v>
      </c>
    </row>
    <row r="95" spans="1:9" ht="18.75" x14ac:dyDescent="0.2">
      <c r="A95" s="173" t="s">
        <v>26</v>
      </c>
      <c r="B95" s="140" t="s">
        <v>31</v>
      </c>
      <c r="C95" s="156">
        <v>0.49299999999999999</v>
      </c>
      <c r="D95" s="156">
        <v>0.5</v>
      </c>
      <c r="E95" s="156">
        <v>0.502</v>
      </c>
      <c r="F95" s="156">
        <v>0.502</v>
      </c>
      <c r="G95" s="156">
        <v>0.502</v>
      </c>
      <c r="H95" s="156">
        <v>0.5</v>
      </c>
      <c r="I95" s="156">
        <v>0.5</v>
      </c>
    </row>
    <row r="96" spans="1:9" ht="18.75" x14ac:dyDescent="0.3">
      <c r="A96" s="174" t="s">
        <v>74</v>
      </c>
      <c r="B96" s="140">
        <v>0</v>
      </c>
      <c r="C96" s="106">
        <v>0.13800000000000001</v>
      </c>
      <c r="D96" s="106">
        <v>0.108</v>
      </c>
      <c r="E96" s="156">
        <v>0.11</v>
      </c>
      <c r="F96" s="156">
        <v>0.11</v>
      </c>
      <c r="G96" s="156">
        <v>0.11</v>
      </c>
      <c r="H96" s="156">
        <v>0.112</v>
      </c>
      <c r="I96" s="156">
        <v>0.112</v>
      </c>
    </row>
    <row r="97" spans="1:9" ht="18.75" x14ac:dyDescent="0.3">
      <c r="A97" s="174" t="s">
        <v>79</v>
      </c>
      <c r="B97" s="140" t="s">
        <v>31</v>
      </c>
      <c r="C97" s="156">
        <v>0.52700000000000002</v>
      </c>
      <c r="D97" s="156">
        <v>0.63300000000000001</v>
      </c>
      <c r="E97" s="156">
        <v>0.65400000000000003</v>
      </c>
      <c r="F97" s="156">
        <v>0.65400000000000003</v>
      </c>
      <c r="G97" s="156">
        <v>0.65200000000000002</v>
      </c>
      <c r="H97" s="156">
        <v>0.65300000000000002</v>
      </c>
      <c r="I97" s="156">
        <v>0.65200000000000002</v>
      </c>
    </row>
    <row r="98" spans="1:9" ht="39" x14ac:dyDescent="0.2">
      <c r="A98" s="165" t="s">
        <v>180</v>
      </c>
      <c r="B98" s="140" t="s">
        <v>14</v>
      </c>
      <c r="C98" s="107">
        <v>3</v>
      </c>
      <c r="D98" s="107">
        <v>2.1</v>
      </c>
      <c r="E98" s="107">
        <f>SUM(D98)</f>
        <v>2.1</v>
      </c>
      <c r="F98" s="106">
        <v>2.1</v>
      </c>
      <c r="G98" s="107">
        <v>2.1</v>
      </c>
      <c r="H98" s="106">
        <v>2.1</v>
      </c>
      <c r="I98" s="156">
        <v>2.06</v>
      </c>
    </row>
    <row r="99" spans="1:9" ht="58.5" x14ac:dyDescent="0.2">
      <c r="A99" s="165" t="s">
        <v>119</v>
      </c>
      <c r="B99" s="140" t="s">
        <v>15</v>
      </c>
      <c r="C99" s="175">
        <v>21541.599999999999</v>
      </c>
      <c r="D99" s="175">
        <v>22704.9</v>
      </c>
      <c r="E99" s="175">
        <f>SUM(E121/12/E66*1000)</f>
        <v>22431.574904621644</v>
      </c>
      <c r="F99" s="175">
        <f>SUM(F121/12/F66*1000)</f>
        <v>22837.780486395477</v>
      </c>
      <c r="G99" s="175">
        <f>SUM(G121/12/G66*1000)</f>
        <v>22521.842811682494</v>
      </c>
      <c r="H99" s="175">
        <f t="shared" ref="H99:I99" si="16">SUM(H121/12/H66*1000)</f>
        <v>23250.926264038808</v>
      </c>
      <c r="I99" s="175">
        <f t="shared" si="16"/>
        <v>23414.829989826947</v>
      </c>
    </row>
    <row r="100" spans="1:9" ht="19.5" x14ac:dyDescent="0.2">
      <c r="A100" s="165" t="s">
        <v>33</v>
      </c>
      <c r="B100" s="140"/>
      <c r="C100" s="175"/>
      <c r="D100" s="175"/>
      <c r="E100" s="175"/>
      <c r="F100" s="176"/>
      <c r="G100" s="175"/>
      <c r="H100" s="176"/>
      <c r="I100" s="175"/>
    </row>
    <row r="101" spans="1:9" s="102" customFormat="1" ht="18.75" customHeight="1" x14ac:dyDescent="0.2">
      <c r="A101" s="281" t="s">
        <v>282</v>
      </c>
      <c r="B101" s="283" t="s">
        <v>15</v>
      </c>
      <c r="C101" s="285">
        <v>13020</v>
      </c>
      <c r="D101" s="285">
        <v>20307</v>
      </c>
      <c r="E101" s="285">
        <f>SUM(D101*98.5%)</f>
        <v>20002.395</v>
      </c>
      <c r="F101" s="285">
        <f>SUM(E101*101.2%)</f>
        <v>20242.423740000002</v>
      </c>
      <c r="G101" s="285">
        <f>SUM(F101*99.8%)</f>
        <v>20201.938892520004</v>
      </c>
      <c r="H101" s="285">
        <f>SUM(F101*101.3%)</f>
        <v>20505.57524862</v>
      </c>
      <c r="I101" s="285">
        <f>SUM(H101*100%)</f>
        <v>20505.57524862</v>
      </c>
    </row>
    <row r="102" spans="1:9" s="102" customFormat="1" ht="18.75" customHeight="1" x14ac:dyDescent="0.2">
      <c r="A102" s="282"/>
      <c r="B102" s="284"/>
      <c r="C102" s="286"/>
      <c r="D102" s="286"/>
      <c r="E102" s="286"/>
      <c r="F102" s="286"/>
      <c r="G102" s="286"/>
      <c r="H102" s="286"/>
      <c r="I102" s="286"/>
    </row>
    <row r="103" spans="1:9" ht="18.75" x14ac:dyDescent="0.3">
      <c r="A103" s="168" t="s">
        <v>71</v>
      </c>
      <c r="B103" s="140" t="s">
        <v>15</v>
      </c>
      <c r="C103" s="175">
        <v>31555</v>
      </c>
      <c r="D103" s="175">
        <v>31250</v>
      </c>
      <c r="E103" s="175">
        <f>SUM(138.8062/E70/12*1000)</f>
        <v>30056.967101650371</v>
      </c>
      <c r="F103" s="175">
        <f>SUM(140.47187/F70/12*1000)</f>
        <v>30601.257297885528</v>
      </c>
      <c r="G103" s="175">
        <f>SUM(E103*99.8%)</f>
        <v>29996.853167447069</v>
      </c>
      <c r="H103" s="175">
        <f>SUM(142.298/H70/12*1000)</f>
        <v>31154.846938533767</v>
      </c>
      <c r="I103" s="175">
        <f>SUM(142.298/I70/12*1000)</f>
        <v>31374.468216046087</v>
      </c>
    </row>
    <row r="104" spans="1:9" ht="18.75" x14ac:dyDescent="0.3">
      <c r="A104" s="168" t="s">
        <v>72</v>
      </c>
      <c r="B104" s="140" t="s">
        <v>15</v>
      </c>
      <c r="C104" s="175">
        <v>28987</v>
      </c>
      <c r="D104" s="175">
        <v>23256</v>
      </c>
      <c r="E104" s="175">
        <f>SUM(424.30845/E71/12)</f>
        <v>29.529919901252466</v>
      </c>
      <c r="F104" s="175">
        <f>SUM(429.4/F71/12*1000)</f>
        <v>30064.656341370875</v>
      </c>
      <c r="G104" s="175">
        <f>SUM(E104*99.8%*1000)</f>
        <v>29470.860061449963</v>
      </c>
      <c r="H104" s="175">
        <f>SUM(434.98/H71/12*1000)</f>
        <v>30608.384763523023</v>
      </c>
      <c r="I104" s="175">
        <f>SUM(434.98/I71/12*1000)</f>
        <v>30824.153840405867</v>
      </c>
    </row>
    <row r="105" spans="1:9" ht="18.75" x14ac:dyDescent="0.3">
      <c r="A105" s="168" t="s">
        <v>73</v>
      </c>
      <c r="B105" s="140" t="s">
        <v>15</v>
      </c>
      <c r="C105" s="175">
        <v>20357</v>
      </c>
      <c r="D105" s="175">
        <v>26392</v>
      </c>
      <c r="E105" s="175">
        <f>SUM(268.19/E72/12)</f>
        <v>25.64807312861544</v>
      </c>
      <c r="F105" s="175">
        <f>SUM(271.41/F72/12*1000)</f>
        <v>26112.690640421508</v>
      </c>
      <c r="G105" s="175">
        <f>SUM(E105*99.8%*1000)</f>
        <v>25596.776982358209</v>
      </c>
      <c r="H105" s="175">
        <f>SUM(274.94/H72/12*1000)</f>
        <v>26585.242504025562</v>
      </c>
      <c r="I105" s="175">
        <f>SUM(274.94/I72/12*1000)</f>
        <v>26772.651061455752</v>
      </c>
    </row>
    <row r="106" spans="1:9" ht="18.75" x14ac:dyDescent="0.3">
      <c r="A106" s="168" t="s">
        <v>22</v>
      </c>
      <c r="B106" s="140" t="s">
        <v>15</v>
      </c>
      <c r="C106" s="175">
        <v>39344</v>
      </c>
      <c r="D106" s="175">
        <v>28987</v>
      </c>
      <c r="E106" s="175">
        <f>SUM(313.968/E73/12*1000)</f>
        <v>32398.429857473657</v>
      </c>
      <c r="F106" s="175">
        <f>SUM(317.736/F73/12*1000)</f>
        <v>32985.161610474155</v>
      </c>
      <c r="G106" s="175">
        <f t="shared" ref="G106:G111" si="17">SUM(E106*99.8%)</f>
        <v>32333.632997758708</v>
      </c>
      <c r="H106" s="175">
        <f>SUM(321.86/H73/12*1000)</f>
        <v>33581.192831073859</v>
      </c>
      <c r="I106" s="175">
        <f>SUM(321.86/I73/12*1000)</f>
        <v>33817.918258886057</v>
      </c>
    </row>
    <row r="107" spans="1:9" ht="56.25" x14ac:dyDescent="0.2">
      <c r="A107" s="173" t="s">
        <v>2</v>
      </c>
      <c r="B107" s="140" t="s">
        <v>15</v>
      </c>
      <c r="C107" s="175">
        <v>20.731000000000002</v>
      </c>
      <c r="D107" s="175">
        <v>18.431000000000001</v>
      </c>
      <c r="E107" s="175">
        <f>SUM(54.67/E74/12*1000)</f>
        <v>19119.422423476844</v>
      </c>
      <c r="F107" s="175">
        <f>SUM(55.326/F74/12*1000)</f>
        <v>19465.635315483167</v>
      </c>
      <c r="G107" s="175">
        <f t="shared" si="17"/>
        <v>19081.183578629891</v>
      </c>
      <c r="H107" s="175">
        <f>SUM(56.045/H74/12*1000)</f>
        <v>19817.693304323991</v>
      </c>
      <c r="I107" s="175">
        <f>SUM(56.045/I74/12*1000)</f>
        <v>19957.395069812683</v>
      </c>
    </row>
    <row r="108" spans="1:9" ht="18.75" x14ac:dyDescent="0.3">
      <c r="A108" s="168" t="s">
        <v>74</v>
      </c>
      <c r="B108" s="140" t="s">
        <v>15</v>
      </c>
      <c r="C108" s="175">
        <v>41855</v>
      </c>
      <c r="D108" s="175">
        <v>42222</v>
      </c>
      <c r="E108" s="175">
        <f>SUM(1001.4682/E75/12*1000)</f>
        <v>41624.46730212184</v>
      </c>
      <c r="F108" s="175">
        <f>SUM(1013.4858/F75/12*1000)</f>
        <v>42378.229522112611</v>
      </c>
      <c r="G108" s="175">
        <f t="shared" si="17"/>
        <v>41541.218367517598</v>
      </c>
      <c r="H108" s="175">
        <f>SUM(1026.6611/H75/12*1000)</f>
        <v>43144.870213024515</v>
      </c>
      <c r="I108" s="175">
        <f>SUM(1026.661/I75/12*1000)</f>
        <v>43449.009074097994</v>
      </c>
    </row>
    <row r="109" spans="1:9" ht="37.5" x14ac:dyDescent="0.2">
      <c r="A109" s="139" t="s">
        <v>70</v>
      </c>
      <c r="B109" s="140" t="s">
        <v>15</v>
      </c>
      <c r="C109" s="175">
        <v>35269</v>
      </c>
      <c r="D109" s="175">
        <v>33861</v>
      </c>
      <c r="E109" s="175">
        <f>SUM(D109*98.5%)</f>
        <v>33353.084999999999</v>
      </c>
      <c r="F109" s="175">
        <f>SUM(E109*101.2%)</f>
        <v>33753.32202</v>
      </c>
      <c r="G109" s="175">
        <f t="shared" si="17"/>
        <v>33286.378830000001</v>
      </c>
      <c r="H109" s="175">
        <f>SUM(F109*101.3%)</f>
        <v>34192.115206259994</v>
      </c>
      <c r="I109" s="175">
        <f>SUM(H109*100%)</f>
        <v>34192.115206259994</v>
      </c>
    </row>
    <row r="110" spans="1:9" ht="18.75" x14ac:dyDescent="0.3">
      <c r="A110" s="168" t="s">
        <v>75</v>
      </c>
      <c r="B110" s="140" t="s">
        <v>15</v>
      </c>
      <c r="C110" s="175">
        <v>19930</v>
      </c>
      <c r="D110" s="175">
        <v>21010</v>
      </c>
      <c r="E110" s="175">
        <f>SUM(D110*98.5%)</f>
        <v>20694.849999999999</v>
      </c>
      <c r="F110" s="175">
        <f>SUM(E110*101.2%)</f>
        <v>20943.188200000001</v>
      </c>
      <c r="G110" s="175">
        <f t="shared" si="17"/>
        <v>20653.460299999999</v>
      </c>
      <c r="H110" s="175">
        <f>SUM(F110*101.3%)</f>
        <v>21215.449646599998</v>
      </c>
      <c r="I110" s="175">
        <f>SUM(H110*100%)</f>
        <v>21215.449646599998</v>
      </c>
    </row>
    <row r="111" spans="1:9" ht="18.75" x14ac:dyDescent="0.3">
      <c r="A111" s="168" t="s">
        <v>76</v>
      </c>
      <c r="B111" s="140" t="s">
        <v>15</v>
      </c>
      <c r="C111" s="175">
        <v>22463</v>
      </c>
      <c r="D111" s="175">
        <v>20535</v>
      </c>
      <c r="E111" s="175">
        <f>SUM(D111*98.5%)</f>
        <v>20226.974999999999</v>
      </c>
      <c r="F111" s="175">
        <f>SUM(E111*101.2%)</f>
        <v>20469.698699999997</v>
      </c>
      <c r="G111" s="175">
        <f t="shared" si="17"/>
        <v>20186.521049999999</v>
      </c>
      <c r="H111" s="175">
        <f>SUM(F111*101.3%)</f>
        <v>20735.804783099997</v>
      </c>
      <c r="I111" s="175">
        <f>SUM(H111*100%)</f>
        <v>20735.804783099997</v>
      </c>
    </row>
    <row r="112" spans="1:9" ht="37.5" x14ac:dyDescent="0.3">
      <c r="A112" s="166" t="s">
        <v>77</v>
      </c>
      <c r="B112" s="140" t="s">
        <v>15</v>
      </c>
      <c r="C112" s="175">
        <v>22247</v>
      </c>
      <c r="D112" s="175">
        <v>0</v>
      </c>
      <c r="E112" s="175">
        <v>0</v>
      </c>
      <c r="F112" s="175">
        <v>0</v>
      </c>
      <c r="G112" s="175">
        <v>0</v>
      </c>
      <c r="H112" s="175">
        <v>0</v>
      </c>
      <c r="I112" s="175">
        <v>0</v>
      </c>
    </row>
    <row r="113" spans="1:14" ht="18.75" x14ac:dyDescent="0.3">
      <c r="A113" s="168" t="s">
        <v>79</v>
      </c>
      <c r="B113" s="140" t="s">
        <v>15</v>
      </c>
      <c r="C113" s="175">
        <v>14112</v>
      </c>
      <c r="D113" s="175">
        <v>7757</v>
      </c>
      <c r="E113" s="175">
        <f>SUM(D113*98.5%)</f>
        <v>7640.6449999999995</v>
      </c>
      <c r="F113" s="175">
        <f>SUM(E113*101.2%)</f>
        <v>7732.3327399999998</v>
      </c>
      <c r="G113" s="175">
        <f>SUM(E113*99.8%)</f>
        <v>7625.3637099999996</v>
      </c>
      <c r="H113" s="175">
        <f>SUM(F113*101.3%)</f>
        <v>7832.8530656199991</v>
      </c>
      <c r="I113" s="175">
        <f>SUM(H113*100%)</f>
        <v>7832.8530656199991</v>
      </c>
    </row>
    <row r="114" spans="1:14" ht="58.9" customHeight="1" x14ac:dyDescent="0.3">
      <c r="A114" s="169" t="s">
        <v>226</v>
      </c>
      <c r="B114" s="140" t="s">
        <v>15</v>
      </c>
      <c r="C114" s="106"/>
      <c r="D114" s="106"/>
      <c r="E114" s="106"/>
      <c r="F114" s="106"/>
      <c r="G114" s="107"/>
      <c r="H114" s="106"/>
      <c r="I114" s="107"/>
    </row>
    <row r="115" spans="1:14" ht="18.75" x14ac:dyDescent="0.3">
      <c r="A115" s="170" t="s">
        <v>225</v>
      </c>
      <c r="B115" s="140"/>
      <c r="C115" s="106"/>
      <c r="D115" s="106"/>
      <c r="E115" s="106"/>
      <c r="F115" s="106"/>
      <c r="G115" s="107"/>
      <c r="H115" s="106"/>
      <c r="I115" s="107"/>
    </row>
    <row r="116" spans="1:14" ht="18.75" x14ac:dyDescent="0.3">
      <c r="A116" s="171" t="s">
        <v>75</v>
      </c>
      <c r="B116" s="140" t="s">
        <v>15</v>
      </c>
      <c r="C116" s="243">
        <v>19387</v>
      </c>
      <c r="D116" s="243">
        <v>20186</v>
      </c>
      <c r="E116" s="243">
        <v>20533</v>
      </c>
      <c r="F116" s="243">
        <v>22639</v>
      </c>
      <c r="G116" s="244">
        <v>22639</v>
      </c>
      <c r="H116" s="243">
        <v>23716</v>
      </c>
      <c r="I116" s="244">
        <v>23716</v>
      </c>
    </row>
    <row r="117" spans="1:14" ht="18.75" x14ac:dyDescent="0.3">
      <c r="A117" s="171" t="s">
        <v>80</v>
      </c>
      <c r="B117" s="140" t="s">
        <v>15</v>
      </c>
      <c r="C117" s="243">
        <v>17192</v>
      </c>
      <c r="D117" s="243">
        <v>21517</v>
      </c>
      <c r="E117" s="243">
        <v>20980</v>
      </c>
      <c r="F117" s="243">
        <v>26605</v>
      </c>
      <c r="G117" s="244">
        <v>26740</v>
      </c>
      <c r="H117" s="243">
        <v>28617</v>
      </c>
      <c r="I117" s="244">
        <v>28617</v>
      </c>
    </row>
    <row r="118" spans="1:14" ht="18.75" x14ac:dyDescent="0.3">
      <c r="A118" s="171" t="s">
        <v>81</v>
      </c>
      <c r="B118" s="140" t="s">
        <v>15</v>
      </c>
      <c r="C118" s="243"/>
      <c r="D118" s="243"/>
      <c r="E118" s="243"/>
      <c r="F118" s="243"/>
      <c r="G118" s="244"/>
      <c r="H118" s="243"/>
      <c r="I118" s="244"/>
    </row>
    <row r="119" spans="1:14" ht="18.75" x14ac:dyDescent="0.3">
      <c r="A119" s="171" t="s">
        <v>82</v>
      </c>
      <c r="B119" s="140" t="s">
        <v>15</v>
      </c>
      <c r="C119" s="243">
        <v>39192</v>
      </c>
      <c r="D119" s="243">
        <v>38541</v>
      </c>
      <c r="E119" s="243">
        <v>38228</v>
      </c>
      <c r="F119" s="243">
        <v>38449</v>
      </c>
      <c r="G119" s="244">
        <v>37809</v>
      </c>
      <c r="H119" s="243">
        <v>37886</v>
      </c>
      <c r="I119" s="244">
        <v>37432</v>
      </c>
    </row>
    <row r="120" spans="1:14" ht="60" customHeight="1" x14ac:dyDescent="0.2">
      <c r="A120" s="160" t="s">
        <v>112</v>
      </c>
      <c r="B120" s="140" t="s">
        <v>15</v>
      </c>
      <c r="C120" s="175">
        <v>8512.6</v>
      </c>
      <c r="D120" s="175">
        <v>8223.17</v>
      </c>
      <c r="E120" s="175">
        <v>8395.7999999999993</v>
      </c>
      <c r="F120" s="175">
        <v>8488.4</v>
      </c>
      <c r="G120" s="175">
        <v>8538.7000000000007</v>
      </c>
      <c r="H120" s="175">
        <v>8632.7000000000007</v>
      </c>
      <c r="I120" s="175">
        <v>8814</v>
      </c>
    </row>
    <row r="121" spans="1:14" ht="42.75" customHeight="1" x14ac:dyDescent="0.2">
      <c r="A121" s="177" t="s">
        <v>117</v>
      </c>
      <c r="B121" s="140" t="s">
        <v>12</v>
      </c>
      <c r="C121" s="106">
        <v>3445.78</v>
      </c>
      <c r="D121" s="106">
        <v>3604.35</v>
      </c>
      <c r="E121" s="106">
        <f>SUM(D121*98.5%)</f>
        <v>3550.2847499999998</v>
      </c>
      <c r="F121" s="106">
        <f>SUM(E121*101.2%)</f>
        <v>3592.8881669999996</v>
      </c>
      <c r="G121" s="107">
        <f>SUM(E121*99.8%)</f>
        <v>3543.1841804999999</v>
      </c>
      <c r="H121" s="106">
        <f>SUM(F121*101.3%)</f>
        <v>3639.5957131709993</v>
      </c>
      <c r="I121" s="107">
        <v>3639.5956999999999</v>
      </c>
    </row>
    <row r="122" spans="1:14" ht="18.75" x14ac:dyDescent="0.2">
      <c r="A122" s="178" t="s">
        <v>273</v>
      </c>
      <c r="B122" s="140"/>
      <c r="C122" s="106"/>
      <c r="D122" s="106"/>
      <c r="E122" s="106"/>
      <c r="F122" s="106"/>
      <c r="G122" s="107"/>
      <c r="H122" s="106"/>
      <c r="I122" s="107"/>
    </row>
    <row r="123" spans="1:14" ht="37.5" x14ac:dyDescent="0.2">
      <c r="A123" s="178" t="s">
        <v>118</v>
      </c>
      <c r="B123" s="140"/>
      <c r="C123" s="106">
        <v>577.63</v>
      </c>
      <c r="D123" s="106">
        <v>305.07</v>
      </c>
      <c r="E123" s="106">
        <f>SUM(D123*98.5%)</f>
        <v>300.49394999999998</v>
      </c>
      <c r="F123" s="106">
        <f t="shared" ref="F123:F125" si="18">SUM(E123*101.2%)</f>
        <v>304.09987739999997</v>
      </c>
      <c r="G123" s="107">
        <f>SUM(E123*99.8%)</f>
        <v>299.89296209999998</v>
      </c>
      <c r="H123" s="106">
        <f t="shared" ref="H123:H125" si="19">SUM(F123*101.3%)</f>
        <v>308.05317580619993</v>
      </c>
      <c r="I123" s="107">
        <v>3639.5956999999999</v>
      </c>
    </row>
    <row r="124" spans="1:14" ht="37.5" x14ac:dyDescent="0.2">
      <c r="A124" s="178" t="s">
        <v>123</v>
      </c>
      <c r="B124" s="140" t="s">
        <v>12</v>
      </c>
      <c r="C124" s="106">
        <v>4.5060000000000002</v>
      </c>
      <c r="D124" s="106">
        <v>3.9140000000000001</v>
      </c>
      <c r="E124" s="106">
        <f>SUM(D124*98.5%)</f>
        <v>3.8552900000000001</v>
      </c>
      <c r="F124" s="106">
        <f t="shared" si="18"/>
        <v>3.90155348</v>
      </c>
      <c r="G124" s="107">
        <f t="shared" ref="G124:G125" si="20">SUM(E124*99.8%)</f>
        <v>3.8475794200000002</v>
      </c>
      <c r="H124" s="106">
        <f t="shared" si="19"/>
        <v>3.9522736752399998</v>
      </c>
      <c r="I124" s="107">
        <v>3639.5956999999999</v>
      </c>
    </row>
    <row r="125" spans="1:14" ht="37.5" x14ac:dyDescent="0.2">
      <c r="A125" s="178" t="s">
        <v>181</v>
      </c>
      <c r="B125" s="140" t="s">
        <v>12</v>
      </c>
      <c r="C125" s="106">
        <v>486</v>
      </c>
      <c r="D125" s="106">
        <v>516</v>
      </c>
      <c r="E125" s="106">
        <f>SUM(D125*98.5%)</f>
        <v>508.26</v>
      </c>
      <c r="F125" s="106">
        <f t="shared" si="18"/>
        <v>514.35911999999996</v>
      </c>
      <c r="G125" s="107">
        <f t="shared" si="20"/>
        <v>507.24347999999998</v>
      </c>
      <c r="H125" s="106">
        <f t="shared" si="19"/>
        <v>521.04578855999989</v>
      </c>
      <c r="I125" s="107">
        <v>3639.5956999999999</v>
      </c>
    </row>
    <row r="126" spans="1:14" ht="18.75" x14ac:dyDescent="0.2">
      <c r="A126" s="179" t="s">
        <v>34</v>
      </c>
      <c r="B126" s="140" t="s">
        <v>12</v>
      </c>
      <c r="C126" s="106">
        <v>127.6225</v>
      </c>
      <c r="D126" s="106">
        <v>79.480599999999995</v>
      </c>
      <c r="E126" s="106">
        <f>SUM(D126*100%)</f>
        <v>79.480599999999995</v>
      </c>
      <c r="F126" s="106">
        <f t="shared" ref="F126:I126" si="21">SUM(E126*100%)</f>
        <v>79.480599999999995</v>
      </c>
      <c r="G126" s="106">
        <f t="shared" si="21"/>
        <v>79.480599999999995</v>
      </c>
      <c r="H126" s="106">
        <f t="shared" si="21"/>
        <v>79.480599999999995</v>
      </c>
      <c r="I126" s="106">
        <f t="shared" si="21"/>
        <v>79.480599999999995</v>
      </c>
    </row>
    <row r="127" spans="1:14" ht="18.75" x14ac:dyDescent="0.2">
      <c r="A127" s="179" t="s">
        <v>7</v>
      </c>
      <c r="B127" s="140" t="s">
        <v>12</v>
      </c>
      <c r="C127" s="106"/>
      <c r="D127" s="106"/>
      <c r="E127" s="106"/>
      <c r="F127" s="106"/>
      <c r="G127" s="107"/>
      <c r="H127" s="106"/>
      <c r="I127" s="107"/>
    </row>
    <row r="128" spans="1:14" ht="31.5" x14ac:dyDescent="0.2">
      <c r="A128" s="180" t="s">
        <v>202</v>
      </c>
      <c r="B128" s="118" t="s">
        <v>12</v>
      </c>
      <c r="C128" s="158">
        <f>SUM(C121+C126)</f>
        <v>3573.4025000000001</v>
      </c>
      <c r="D128" s="158">
        <f>SUM(D121+D126)</f>
        <v>3683.8305999999998</v>
      </c>
      <c r="E128" s="158">
        <f t="shared" ref="E128:I128" si="22">SUM(E121+E126)</f>
        <v>3629.7653499999997</v>
      </c>
      <c r="F128" s="158">
        <f t="shared" si="22"/>
        <v>3672.3687669999995</v>
      </c>
      <c r="G128" s="158">
        <f t="shared" si="22"/>
        <v>3622.6647804999998</v>
      </c>
      <c r="H128" s="158">
        <f t="shared" si="22"/>
        <v>3719.0763131709991</v>
      </c>
      <c r="I128" s="158">
        <f t="shared" si="22"/>
        <v>3719.0762999999997</v>
      </c>
      <c r="N128" t="s">
        <v>228</v>
      </c>
    </row>
    <row r="129" spans="1:12" ht="18.75" x14ac:dyDescent="0.2">
      <c r="A129" s="278" t="s">
        <v>220</v>
      </c>
      <c r="B129" s="279"/>
      <c r="C129" s="279"/>
      <c r="D129" s="279"/>
      <c r="E129" s="279"/>
      <c r="F129" s="279"/>
      <c r="G129" s="279"/>
      <c r="H129" s="279"/>
      <c r="I129" s="280"/>
    </row>
    <row r="130" spans="1:12" ht="39" x14ac:dyDescent="0.2">
      <c r="A130" s="181" t="s">
        <v>209</v>
      </c>
      <c r="B130" s="118" t="s">
        <v>12</v>
      </c>
      <c r="C130" s="182">
        <v>230.4</v>
      </c>
      <c r="D130" s="182">
        <v>235.9</v>
      </c>
      <c r="E130" s="182">
        <v>240.6</v>
      </c>
      <c r="F130" s="183">
        <v>243.3</v>
      </c>
      <c r="G130" s="182">
        <v>252.2</v>
      </c>
      <c r="H130" s="182">
        <v>246.3</v>
      </c>
      <c r="I130" s="182">
        <v>249.4</v>
      </c>
    </row>
    <row r="131" spans="1:12" ht="18.75" x14ac:dyDescent="0.2">
      <c r="A131" s="178" t="s">
        <v>33</v>
      </c>
      <c r="B131" s="118" t="s">
        <v>12</v>
      </c>
      <c r="C131" s="137"/>
      <c r="D131" s="137"/>
      <c r="E131" s="137"/>
      <c r="F131" s="137"/>
      <c r="G131" s="138"/>
      <c r="H131" s="137"/>
      <c r="I131" s="138"/>
    </row>
    <row r="132" spans="1:12" ht="18.75" x14ac:dyDescent="0.2">
      <c r="A132" s="179" t="s">
        <v>207</v>
      </c>
      <c r="B132" s="118" t="s">
        <v>12</v>
      </c>
      <c r="C132" s="106">
        <v>184.7</v>
      </c>
      <c r="D132" s="106">
        <v>193.3</v>
      </c>
      <c r="E132" s="184">
        <v>194.1</v>
      </c>
      <c r="F132" s="184">
        <v>196.4</v>
      </c>
      <c r="G132" s="184">
        <v>203.9</v>
      </c>
      <c r="H132" s="184">
        <v>199</v>
      </c>
      <c r="I132" s="184">
        <v>201.6</v>
      </c>
    </row>
    <row r="133" spans="1:12" ht="18.75" x14ac:dyDescent="0.2">
      <c r="A133" s="179" t="s">
        <v>208</v>
      </c>
      <c r="B133" s="118"/>
      <c r="C133" s="106"/>
      <c r="D133" s="106"/>
      <c r="E133" s="106"/>
      <c r="F133" s="106"/>
      <c r="G133" s="107"/>
      <c r="H133" s="106"/>
      <c r="I133" s="107"/>
    </row>
    <row r="134" spans="1:12" ht="18.75" x14ac:dyDescent="0.2">
      <c r="A134" s="185" t="s">
        <v>203</v>
      </c>
      <c r="B134" s="118" t="s">
        <v>12</v>
      </c>
      <c r="C134" s="106">
        <v>26.9</v>
      </c>
      <c r="D134" s="106">
        <v>22.1</v>
      </c>
      <c r="E134" s="106">
        <v>25.9</v>
      </c>
      <c r="F134" s="106">
        <v>26</v>
      </c>
      <c r="G134" s="107">
        <v>26.9</v>
      </c>
      <c r="H134" s="106">
        <v>26.3</v>
      </c>
      <c r="I134" s="107">
        <v>26.5</v>
      </c>
    </row>
    <row r="135" spans="1:12" ht="31.5" x14ac:dyDescent="0.2">
      <c r="A135" s="186" t="s">
        <v>227</v>
      </c>
      <c r="B135" s="118" t="s">
        <v>12</v>
      </c>
      <c r="C135" s="106">
        <v>3889.2</v>
      </c>
      <c r="D135" s="106">
        <v>3889.2</v>
      </c>
      <c r="E135" s="106">
        <v>3889.2</v>
      </c>
      <c r="F135" s="106">
        <v>3889.2</v>
      </c>
      <c r="G135" s="106">
        <v>3889.2</v>
      </c>
      <c r="H135" s="106">
        <v>3889.2</v>
      </c>
      <c r="I135" s="106">
        <v>3889.2</v>
      </c>
    </row>
    <row r="136" spans="1:12" ht="18.75" x14ac:dyDescent="0.2">
      <c r="A136" s="186" t="s">
        <v>224</v>
      </c>
      <c r="B136" s="118" t="s">
        <v>12</v>
      </c>
      <c r="C136" s="106">
        <v>31.2</v>
      </c>
      <c r="D136" s="106">
        <v>26.7</v>
      </c>
      <c r="E136" s="106">
        <v>28.9</v>
      </c>
      <c r="F136" s="106">
        <v>29</v>
      </c>
      <c r="G136" s="107">
        <v>29.8</v>
      </c>
      <c r="H136" s="106">
        <v>29.2</v>
      </c>
      <c r="I136" s="107">
        <v>29.4</v>
      </c>
    </row>
    <row r="137" spans="1:12" ht="18.75" x14ac:dyDescent="0.2">
      <c r="A137" s="185" t="s">
        <v>204</v>
      </c>
      <c r="B137" s="118" t="s">
        <v>12</v>
      </c>
      <c r="C137" s="184">
        <v>4</v>
      </c>
      <c r="D137" s="184">
        <v>4.4000000000000004</v>
      </c>
      <c r="E137" s="184">
        <v>4.4000000000000004</v>
      </c>
      <c r="F137" s="184">
        <v>4.5</v>
      </c>
      <c r="G137" s="184">
        <v>4.7</v>
      </c>
      <c r="H137" s="184">
        <v>4.5</v>
      </c>
      <c r="I137" s="184">
        <v>4.5999999999999996</v>
      </c>
      <c r="L137" t="s">
        <v>211</v>
      </c>
    </row>
    <row r="138" spans="1:12" ht="36.6" customHeight="1" x14ac:dyDescent="0.2">
      <c r="A138" s="186" t="s">
        <v>229</v>
      </c>
      <c r="B138" s="118" t="s">
        <v>12</v>
      </c>
      <c r="C138" s="184">
        <v>2690.2</v>
      </c>
      <c r="D138" s="184">
        <v>2690.2</v>
      </c>
      <c r="E138" s="184">
        <v>2690.2</v>
      </c>
      <c r="F138" s="184">
        <v>2690.2</v>
      </c>
      <c r="G138" s="184">
        <v>2690.2</v>
      </c>
      <c r="H138" s="184">
        <v>2690.2</v>
      </c>
      <c r="I138" s="184">
        <v>2690.2</v>
      </c>
      <c r="L138" t="s">
        <v>210</v>
      </c>
    </row>
    <row r="139" spans="1:12" ht="18.75" x14ac:dyDescent="0.2">
      <c r="A139" s="179" t="s">
        <v>221</v>
      </c>
      <c r="B139" s="118"/>
      <c r="C139" s="184"/>
      <c r="D139" s="184"/>
      <c r="E139" s="184"/>
      <c r="F139" s="184"/>
      <c r="G139" s="184"/>
      <c r="H139" s="184"/>
      <c r="I139" s="184"/>
    </row>
    <row r="140" spans="1:12" ht="18.75" x14ac:dyDescent="0.2">
      <c r="A140" s="187" t="s">
        <v>205</v>
      </c>
      <c r="B140" s="118" t="s">
        <v>12</v>
      </c>
      <c r="C140" s="188">
        <v>14.8</v>
      </c>
      <c r="D140" s="188">
        <v>16.100000000000001</v>
      </c>
      <c r="E140" s="188">
        <v>16.2</v>
      </c>
      <c r="F140" s="188">
        <v>16.399999999999999</v>
      </c>
      <c r="G140" s="188">
        <v>17</v>
      </c>
      <c r="H140" s="188">
        <v>16.5</v>
      </c>
      <c r="I140" s="188">
        <v>16.7</v>
      </c>
    </row>
    <row r="141" spans="1:12" s="93" customFormat="1" ht="33.75" customHeight="1" x14ac:dyDescent="0.2">
      <c r="A141" s="189" t="s">
        <v>206</v>
      </c>
      <c r="B141" s="190" t="s">
        <v>12</v>
      </c>
      <c r="C141" s="191">
        <v>0.02</v>
      </c>
      <c r="D141" s="191">
        <v>1.7000000000000001E-2</v>
      </c>
      <c r="E141" s="191">
        <v>0.02</v>
      </c>
      <c r="F141" s="191">
        <v>0.02</v>
      </c>
      <c r="G141" s="191">
        <v>0.02</v>
      </c>
      <c r="H141" s="191">
        <v>0.02</v>
      </c>
      <c r="I141" s="191">
        <v>0.02</v>
      </c>
    </row>
    <row r="142" spans="1:12" ht="18.75" x14ac:dyDescent="0.2">
      <c r="A142" s="277">
        <v>1.7000000000000001E-2</v>
      </c>
      <c r="B142" s="277"/>
      <c r="C142" s="277"/>
      <c r="D142" s="277"/>
      <c r="E142" s="277"/>
      <c r="F142" s="277"/>
      <c r="G142" s="277"/>
    </row>
    <row r="143" spans="1:12" ht="60" customHeight="1" x14ac:dyDescent="0.2">
      <c r="A143" s="275" t="s">
        <v>36</v>
      </c>
      <c r="B143" s="275"/>
      <c r="C143" s="275"/>
      <c r="D143" s="275"/>
      <c r="E143" s="275"/>
      <c r="F143" s="275"/>
      <c r="G143" s="275"/>
      <c r="H143" s="275"/>
      <c r="I143" s="275"/>
    </row>
    <row r="144" spans="1:12" ht="47.25" customHeight="1" x14ac:dyDescent="0.2">
      <c r="A144" s="276" t="s">
        <v>90</v>
      </c>
      <c r="B144" s="276"/>
      <c r="C144" s="276"/>
      <c r="D144" s="276"/>
      <c r="E144" s="276"/>
      <c r="F144" s="276"/>
      <c r="G144" s="276"/>
      <c r="H144" s="276"/>
      <c r="I144" s="276"/>
    </row>
  </sheetData>
  <mergeCells count="29">
    <mergeCell ref="H1:I1"/>
    <mergeCell ref="H2:I2"/>
    <mergeCell ref="A1:F1"/>
    <mergeCell ref="D6:D8"/>
    <mergeCell ref="C6:C8"/>
    <mergeCell ref="E6:E8"/>
    <mergeCell ref="A4:I4"/>
    <mergeCell ref="F7:G7"/>
    <mergeCell ref="H7:H8"/>
    <mergeCell ref="I7:I8"/>
    <mergeCell ref="F6:I6"/>
    <mergeCell ref="A6:A8"/>
    <mergeCell ref="B6:B8"/>
    <mergeCell ref="A9:I9"/>
    <mergeCell ref="A143:I143"/>
    <mergeCell ref="A144:I144"/>
    <mergeCell ref="A142:G142"/>
    <mergeCell ref="A23:I23"/>
    <mergeCell ref="A129:I129"/>
    <mergeCell ref="A64:I64"/>
    <mergeCell ref="A101:A102"/>
    <mergeCell ref="B101:B102"/>
    <mergeCell ref="C101:C102"/>
    <mergeCell ref="D101:D102"/>
    <mergeCell ref="E101:E102"/>
    <mergeCell ref="F101:F102"/>
    <mergeCell ref="G101:G102"/>
    <mergeCell ref="H101:H102"/>
    <mergeCell ref="I101:I102"/>
  </mergeCells>
  <phoneticPr fontId="14" type="noConversion"/>
  <printOptions horizontalCentered="1"/>
  <pageMargins left="0.59055118110236227" right="0.39370078740157483" top="0.39370078740157483" bottom="0.39370078740157483" header="0.51181102362204722" footer="0.51181102362204722"/>
  <pageSetup paperSize="9" scale="74" fitToHeight="0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 enableFormatConditionsCalculation="0">
    <tabColor indexed="50"/>
  </sheetPr>
  <dimension ref="A1:AF57"/>
  <sheetViews>
    <sheetView view="pageBreakPreview" zoomScale="60" zoomScaleNormal="60" workbookViewId="0">
      <pane xSplit="18630"/>
      <selection activeCell="G23" sqref="G23"/>
      <selection pane="topRight" activeCell="L23" sqref="L23"/>
    </sheetView>
  </sheetViews>
  <sheetFormatPr defaultRowHeight="12.75" x14ac:dyDescent="0.2"/>
  <cols>
    <col min="1" max="1" width="94.28515625" customWidth="1"/>
    <col min="2" max="2" width="24.28515625" style="30" customWidth="1"/>
    <col min="3" max="5" width="13.5703125" bestFit="1" customWidth="1"/>
    <col min="6" max="6" width="13.7109375" customWidth="1"/>
    <col min="7" max="8" width="13.5703125" bestFit="1" customWidth="1"/>
    <col min="9" max="9" width="24.140625" style="25" customWidth="1"/>
    <col min="10" max="11" width="20.5703125" bestFit="1" customWidth="1"/>
    <col min="12" max="12" width="20.42578125" customWidth="1"/>
    <col min="13" max="14" width="20.5703125" bestFit="1" customWidth="1"/>
    <col min="15" max="15" width="22.42578125" customWidth="1"/>
    <col min="16" max="16" width="15.7109375" bestFit="1" customWidth="1"/>
    <col min="17" max="17" width="15.7109375" customWidth="1"/>
    <col min="18" max="19" width="15.7109375" bestFit="1" customWidth="1"/>
    <col min="20" max="20" width="14.5703125" customWidth="1"/>
  </cols>
  <sheetData>
    <row r="1" spans="1:32" ht="22.5" customHeight="1" x14ac:dyDescent="0.2">
      <c r="A1" s="20"/>
      <c r="B1" s="25"/>
      <c r="C1" s="20"/>
      <c r="D1" s="20"/>
      <c r="E1" s="20"/>
      <c r="F1" s="20"/>
      <c r="G1" s="20"/>
      <c r="H1" s="20"/>
      <c r="I1" s="21"/>
      <c r="J1" s="21"/>
      <c r="K1" s="21"/>
      <c r="L1" s="21"/>
      <c r="M1" s="21"/>
      <c r="N1" s="312" t="s">
        <v>94</v>
      </c>
      <c r="O1" s="312"/>
      <c r="P1" s="312"/>
      <c r="Q1" s="312"/>
      <c r="R1" s="312"/>
      <c r="S1" s="312"/>
      <c r="T1" s="313"/>
      <c r="U1" s="17"/>
      <c r="V1" s="17"/>
      <c r="W1" s="17"/>
      <c r="X1" s="17"/>
      <c r="Y1" s="17"/>
      <c r="Z1" s="17"/>
      <c r="AA1" s="17"/>
    </row>
    <row r="2" spans="1:32" ht="82.5" customHeight="1" x14ac:dyDescent="0.2">
      <c r="A2" s="319" t="s">
        <v>105</v>
      </c>
      <c r="B2" s="319"/>
      <c r="C2" s="319"/>
      <c r="D2" s="319"/>
      <c r="E2" s="319"/>
      <c r="F2" s="319"/>
      <c r="G2" s="319"/>
      <c r="H2" s="319"/>
      <c r="I2" s="319"/>
      <c r="J2" s="319"/>
      <c r="K2" s="319"/>
      <c r="L2" s="319"/>
      <c r="M2" s="319"/>
      <c r="N2" s="319"/>
      <c r="O2" s="319"/>
      <c r="P2" s="319"/>
      <c r="Q2" s="319"/>
      <c r="R2" s="319"/>
      <c r="S2" s="319"/>
    </row>
    <row r="3" spans="1:32" ht="20.25" x14ac:dyDescent="0.2">
      <c r="A3" s="320" t="s">
        <v>37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0"/>
      <c r="Q3" s="320"/>
      <c r="R3" s="320"/>
      <c r="S3" s="320"/>
    </row>
    <row r="5" spans="1:32" ht="97.5" customHeight="1" x14ac:dyDescent="0.25">
      <c r="A5" s="321" t="s">
        <v>87</v>
      </c>
      <c r="B5" s="316" t="s">
        <v>107</v>
      </c>
      <c r="C5" s="317"/>
      <c r="D5" s="317"/>
      <c r="E5" s="317"/>
      <c r="F5" s="317"/>
      <c r="G5" s="317"/>
      <c r="H5" s="318"/>
      <c r="I5" s="322" t="s">
        <v>38</v>
      </c>
      <c r="J5" s="317" t="s">
        <v>284</v>
      </c>
      <c r="K5" s="317"/>
      <c r="L5" s="317"/>
      <c r="M5" s="317"/>
      <c r="N5" s="317"/>
      <c r="O5" s="318"/>
      <c r="P5" s="323" t="s">
        <v>268</v>
      </c>
      <c r="Q5" s="323"/>
      <c r="R5" s="323"/>
      <c r="S5" s="323"/>
      <c r="T5" s="32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</row>
    <row r="6" spans="1:32" ht="78.75" customHeight="1" x14ac:dyDescent="0.25">
      <c r="A6" s="321"/>
      <c r="B6" s="3" t="s">
        <v>10</v>
      </c>
      <c r="C6" s="100" t="s">
        <v>177</v>
      </c>
      <c r="D6" s="100" t="s">
        <v>179</v>
      </c>
      <c r="E6" s="100" t="s">
        <v>182</v>
      </c>
      <c r="F6" s="100" t="s">
        <v>231</v>
      </c>
      <c r="G6" s="100" t="s">
        <v>238</v>
      </c>
      <c r="H6" s="100" t="s">
        <v>262</v>
      </c>
      <c r="I6" s="322"/>
      <c r="J6" s="100" t="s">
        <v>177</v>
      </c>
      <c r="K6" s="100" t="s">
        <v>179</v>
      </c>
      <c r="L6" s="100" t="s">
        <v>182</v>
      </c>
      <c r="M6" s="100" t="s">
        <v>231</v>
      </c>
      <c r="N6" s="100" t="s">
        <v>238</v>
      </c>
      <c r="O6" s="100" t="s">
        <v>262</v>
      </c>
      <c r="P6" s="101" t="s">
        <v>179</v>
      </c>
      <c r="Q6" s="101" t="s">
        <v>182</v>
      </c>
      <c r="R6" s="101" t="s">
        <v>231</v>
      </c>
      <c r="S6" s="101" t="s">
        <v>238</v>
      </c>
      <c r="T6" s="101" t="s">
        <v>262</v>
      </c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101.25" x14ac:dyDescent="0.25">
      <c r="A7" s="22" t="s">
        <v>39</v>
      </c>
      <c r="B7" s="23">
        <v>1</v>
      </c>
      <c r="C7" s="23">
        <v>2</v>
      </c>
      <c r="D7" s="23">
        <v>3</v>
      </c>
      <c r="E7" s="23">
        <v>4</v>
      </c>
      <c r="F7" s="23">
        <v>5</v>
      </c>
      <c r="G7" s="23">
        <v>6</v>
      </c>
      <c r="H7" s="23">
        <v>7</v>
      </c>
      <c r="I7" s="23">
        <v>8</v>
      </c>
      <c r="J7" s="23">
        <v>9</v>
      </c>
      <c r="K7" s="23">
        <v>10</v>
      </c>
      <c r="L7" s="23">
        <v>11</v>
      </c>
      <c r="M7" s="23">
        <v>12</v>
      </c>
      <c r="N7" s="23">
        <v>13</v>
      </c>
      <c r="O7" s="23">
        <v>14</v>
      </c>
      <c r="P7" s="24" t="s">
        <v>212</v>
      </c>
      <c r="Q7" s="24" t="s">
        <v>213</v>
      </c>
      <c r="R7" s="24" t="s">
        <v>214</v>
      </c>
      <c r="S7" s="24" t="s">
        <v>215</v>
      </c>
      <c r="T7" s="24" t="s">
        <v>216</v>
      </c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</row>
    <row r="8" spans="1:32" ht="27" x14ac:dyDescent="0.35">
      <c r="A8" s="325" t="s">
        <v>40</v>
      </c>
      <c r="B8" s="326"/>
      <c r="C8" s="326"/>
      <c r="D8" s="326"/>
      <c r="E8" s="326"/>
      <c r="F8" s="326"/>
      <c r="G8" s="326"/>
      <c r="H8" s="326"/>
      <c r="I8" s="326"/>
      <c r="J8" s="326"/>
      <c r="K8" s="326"/>
      <c r="L8" s="326"/>
      <c r="M8" s="326"/>
      <c r="N8" s="326"/>
      <c r="O8" s="326"/>
      <c r="P8" s="326"/>
      <c r="Q8" s="326"/>
      <c r="R8" s="326"/>
      <c r="S8" s="326"/>
      <c r="T8" s="327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32" ht="27" x14ac:dyDescent="0.2">
      <c r="A9" s="314" t="s">
        <v>41</v>
      </c>
      <c r="B9" s="315"/>
      <c r="C9" s="315"/>
      <c r="D9" s="315"/>
      <c r="E9" s="315"/>
      <c r="F9" s="315"/>
      <c r="G9" s="315"/>
      <c r="H9" s="315"/>
      <c r="I9" s="315"/>
      <c r="J9" s="315"/>
      <c r="K9" s="315"/>
      <c r="L9" s="315"/>
      <c r="M9" s="315"/>
      <c r="N9" s="315"/>
      <c r="O9" s="315"/>
      <c r="P9" s="315"/>
      <c r="Q9" s="315"/>
      <c r="R9" s="315"/>
      <c r="S9" s="315"/>
      <c r="T9" s="302"/>
    </row>
    <row r="10" spans="1:32" ht="51.75" x14ac:dyDescent="0.4">
      <c r="A10" s="192" t="s">
        <v>96</v>
      </c>
      <c r="B10" s="193"/>
      <c r="C10" s="194"/>
      <c r="D10" s="194"/>
      <c r="E10" s="194"/>
      <c r="F10" s="194"/>
      <c r="G10" s="194"/>
      <c r="H10" s="194"/>
      <c r="I10" s="195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</row>
    <row r="11" spans="1:32" ht="26.25" x14ac:dyDescent="0.4">
      <c r="A11" s="197" t="s">
        <v>42</v>
      </c>
      <c r="B11" s="193" t="s">
        <v>43</v>
      </c>
      <c r="C11" s="194">
        <v>858.6</v>
      </c>
      <c r="D11" s="194">
        <v>842</v>
      </c>
      <c r="E11" s="194">
        <v>1077</v>
      </c>
      <c r="F11" s="194">
        <v>1077</v>
      </c>
      <c r="G11" s="194">
        <v>1077</v>
      </c>
      <c r="H11" s="194">
        <v>1077</v>
      </c>
      <c r="I11" s="195">
        <v>142.51</v>
      </c>
      <c r="J11" s="196">
        <f>SUM(I11*C11)</f>
        <v>122359.086</v>
      </c>
      <c r="K11" s="196">
        <f>SUM(I11*D11)</f>
        <v>119993.42</v>
      </c>
      <c r="L11" s="198">
        <f>SUM(I11*E11)</f>
        <v>153483.26999999999</v>
      </c>
      <c r="M11" s="198">
        <f>SUM(I11*F11)</f>
        <v>153483.26999999999</v>
      </c>
      <c r="N11" s="198">
        <f>SUM(I11*G11)</f>
        <v>153483.26999999999</v>
      </c>
      <c r="O11" s="198">
        <f>SUM(I11*H11)</f>
        <v>153483.26999999999</v>
      </c>
      <c r="P11" s="196">
        <f>SUM(K11/J11*100)</f>
        <v>98.0666200791987</v>
      </c>
      <c r="Q11" s="196">
        <f>SUM(L11/K11*100)</f>
        <v>127.90973871733966</v>
      </c>
      <c r="R11" s="196">
        <f>SUM(M11/L11*100)</f>
        <v>100</v>
      </c>
      <c r="S11" s="196">
        <f>SUM(N11/M11*100)</f>
        <v>100</v>
      </c>
      <c r="T11" s="196">
        <f>SUM(O11/N11*100)</f>
        <v>100</v>
      </c>
    </row>
    <row r="12" spans="1:32" ht="26.25" x14ac:dyDescent="0.4">
      <c r="A12" s="199" t="s">
        <v>45</v>
      </c>
      <c r="B12" s="200" t="s">
        <v>86</v>
      </c>
      <c r="C12" s="201"/>
      <c r="D12" s="201"/>
      <c r="E12" s="201"/>
      <c r="F12" s="201"/>
      <c r="G12" s="201" t="s">
        <v>86</v>
      </c>
      <c r="H12" s="201"/>
      <c r="I12" s="202" t="s">
        <v>86</v>
      </c>
      <c r="J12" s="203">
        <f>SUM(J11)</f>
        <v>122359.086</v>
      </c>
      <c r="K12" s="203">
        <f>SUM(K11)</f>
        <v>119993.42</v>
      </c>
      <c r="L12" s="203">
        <v>153483.26999999999</v>
      </c>
      <c r="M12" s="203">
        <v>153483.26999999999</v>
      </c>
      <c r="N12" s="203">
        <v>153483.26999999999</v>
      </c>
      <c r="O12" s="203">
        <v>153483.26999999999</v>
      </c>
      <c r="P12" s="203">
        <f>SUM(K12/J12*100)</f>
        <v>98.0666200791987</v>
      </c>
      <c r="Q12" s="203">
        <f>SUM(Q11)</f>
        <v>127.90973871733966</v>
      </c>
      <c r="R12" s="203">
        <f>SUM(R11)</f>
        <v>100</v>
      </c>
      <c r="S12" s="203">
        <f>SUM(S11)</f>
        <v>100</v>
      </c>
      <c r="T12" s="203">
        <f>SUM(T11)</f>
        <v>100</v>
      </c>
    </row>
    <row r="13" spans="1:32" ht="27" x14ac:dyDescent="0.2">
      <c r="A13" s="309" t="s">
        <v>46</v>
      </c>
      <c r="B13" s="310"/>
      <c r="C13" s="310"/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310"/>
      <c r="P13" s="310"/>
      <c r="Q13" s="310"/>
      <c r="R13" s="310"/>
      <c r="S13" s="310"/>
      <c r="T13" s="311"/>
    </row>
    <row r="14" spans="1:32" ht="52.5" customHeight="1" x14ac:dyDescent="0.4">
      <c r="A14" s="204" t="s">
        <v>97</v>
      </c>
      <c r="B14" s="205"/>
      <c r="C14" s="206"/>
      <c r="D14" s="206"/>
      <c r="E14" s="206"/>
      <c r="F14" s="206"/>
      <c r="G14" s="206"/>
      <c r="H14" s="206"/>
      <c r="I14" s="207"/>
      <c r="J14" s="208"/>
      <c r="K14" s="208"/>
      <c r="L14" s="208"/>
      <c r="M14" s="208"/>
      <c r="N14" s="208"/>
      <c r="O14" s="208"/>
      <c r="P14" s="208"/>
      <c r="Q14" s="208"/>
      <c r="R14" s="208"/>
      <c r="S14" s="208"/>
      <c r="T14" s="208"/>
    </row>
    <row r="15" spans="1:32" ht="26.25" x14ac:dyDescent="0.4">
      <c r="A15" s="197" t="s">
        <v>47</v>
      </c>
      <c r="B15" s="193" t="s">
        <v>44</v>
      </c>
      <c r="C15" s="194">
        <v>1318.1020000000001</v>
      </c>
      <c r="D15" s="194">
        <v>1192.6510000000001</v>
      </c>
      <c r="E15" s="194">
        <v>1197.0999999999999</v>
      </c>
      <c r="F15" s="194">
        <v>1200.0999999999999</v>
      </c>
      <c r="G15" s="194">
        <v>1210.0999999999999</v>
      </c>
      <c r="H15" s="194">
        <v>1220.0999999999999</v>
      </c>
      <c r="I15" s="195">
        <v>8.4600000000000009</v>
      </c>
      <c r="J15" s="198">
        <f>SUM(I15*C15)</f>
        <v>11151.142920000002</v>
      </c>
      <c r="K15" s="198">
        <f>SUM(I15*D15)</f>
        <v>10089.827460000002</v>
      </c>
      <c r="L15" s="198">
        <f>SUM(I15*E15)</f>
        <v>10127.466</v>
      </c>
      <c r="M15" s="198">
        <f>SUM(I15*F15)</f>
        <v>10152.846</v>
      </c>
      <c r="N15" s="198">
        <f>SUM(I15*G15)</f>
        <v>10237.446</v>
      </c>
      <c r="O15" s="198">
        <f>SUM(I15*H15)</f>
        <v>10322.046</v>
      </c>
      <c r="P15" s="196">
        <f t="shared" ref="P15:T18" si="0">SUM(K15/J15*100)</f>
        <v>90.48245128222247</v>
      </c>
      <c r="Q15" s="196">
        <f t="shared" si="0"/>
        <v>100.37303452560722</v>
      </c>
      <c r="R15" s="196">
        <f t="shared" si="0"/>
        <v>100.25060563027314</v>
      </c>
      <c r="S15" s="196">
        <f t="shared" si="0"/>
        <v>100.83326389467544</v>
      </c>
      <c r="T15" s="196">
        <f t="shared" si="0"/>
        <v>100.82637798529048</v>
      </c>
    </row>
    <row r="16" spans="1:32" ht="26.25" x14ac:dyDescent="0.4">
      <c r="A16" s="197" t="s">
        <v>48</v>
      </c>
      <c r="B16" s="193" t="s">
        <v>44</v>
      </c>
      <c r="C16" s="194">
        <v>125.9</v>
      </c>
      <c r="D16" s="194">
        <v>118.9</v>
      </c>
      <c r="E16" s="194">
        <v>118.9</v>
      </c>
      <c r="F16" s="194">
        <v>118.9</v>
      </c>
      <c r="G16" s="194">
        <v>118.9</v>
      </c>
      <c r="H16" s="194">
        <v>118.9</v>
      </c>
      <c r="I16" s="195">
        <v>17.82</v>
      </c>
      <c r="J16" s="198">
        <f>SUM(I16*C16)</f>
        <v>2243.538</v>
      </c>
      <c r="K16" s="198">
        <f>SUM(I16*D16)</f>
        <v>2118.7980000000002</v>
      </c>
      <c r="L16" s="198">
        <f t="shared" ref="L16:L17" si="1">SUM(I16*E16)</f>
        <v>2118.7980000000002</v>
      </c>
      <c r="M16" s="198">
        <f t="shared" ref="M16:M17" si="2">SUM(I16*F16)</f>
        <v>2118.7980000000002</v>
      </c>
      <c r="N16" s="198">
        <f t="shared" ref="N16:N17" si="3">SUM(I16*G16)</f>
        <v>2118.7980000000002</v>
      </c>
      <c r="O16" s="198">
        <f t="shared" ref="O16:O17" si="4">SUM(I16*H16)</f>
        <v>2118.7980000000002</v>
      </c>
      <c r="P16" s="196">
        <f t="shared" si="0"/>
        <v>94.440031771247035</v>
      </c>
      <c r="Q16" s="196">
        <f t="shared" si="0"/>
        <v>100</v>
      </c>
      <c r="R16" s="196">
        <f t="shared" si="0"/>
        <v>100</v>
      </c>
      <c r="S16" s="196">
        <f t="shared" si="0"/>
        <v>100</v>
      </c>
      <c r="T16" s="196">
        <f t="shared" si="0"/>
        <v>100</v>
      </c>
    </row>
    <row r="17" spans="1:20" ht="26.25" x14ac:dyDescent="0.4">
      <c r="A17" s="197" t="s">
        <v>49</v>
      </c>
      <c r="B17" s="193" t="s">
        <v>44</v>
      </c>
      <c r="C17" s="194">
        <v>1283.9059999999999</v>
      </c>
      <c r="D17" s="194">
        <v>4574.5510000000004</v>
      </c>
      <c r="E17" s="194">
        <v>2778</v>
      </c>
      <c r="F17" s="194">
        <v>12000</v>
      </c>
      <c r="G17" s="194">
        <v>16667</v>
      </c>
      <c r="H17" s="194">
        <v>20833</v>
      </c>
      <c r="I17" s="195">
        <v>8.02</v>
      </c>
      <c r="J17" s="198">
        <f>SUM(I17*C17)</f>
        <v>10296.926119999998</v>
      </c>
      <c r="K17" s="198">
        <f>SUM(I17*D17)</f>
        <v>36687.899020000004</v>
      </c>
      <c r="L17" s="198">
        <f t="shared" si="1"/>
        <v>22279.559999999998</v>
      </c>
      <c r="M17" s="198">
        <f t="shared" si="2"/>
        <v>96240</v>
      </c>
      <c r="N17" s="198">
        <f t="shared" si="3"/>
        <v>133669.34</v>
      </c>
      <c r="O17" s="198">
        <f t="shared" si="4"/>
        <v>167080.66</v>
      </c>
      <c r="P17" s="196">
        <f t="shared" si="0"/>
        <v>356.29952660085718</v>
      </c>
      <c r="Q17" s="196">
        <f t="shared" si="0"/>
        <v>60.727271375922996</v>
      </c>
      <c r="R17" s="196">
        <f t="shared" si="0"/>
        <v>431.96544276457888</v>
      </c>
      <c r="S17" s="196">
        <f t="shared" si="0"/>
        <v>138.89166666666665</v>
      </c>
      <c r="T17" s="196">
        <f t="shared" si="0"/>
        <v>124.9955000899982</v>
      </c>
    </row>
    <row r="18" spans="1:20" ht="26.25" x14ac:dyDescent="0.4">
      <c r="A18" s="197" t="s">
        <v>51</v>
      </c>
      <c r="B18" s="195" t="s">
        <v>50</v>
      </c>
      <c r="C18" s="194">
        <v>2438</v>
      </c>
      <c r="D18" s="194">
        <v>2898</v>
      </c>
      <c r="E18" s="194">
        <v>3112.68</v>
      </c>
      <c r="F18" s="194">
        <v>3287.68</v>
      </c>
      <c r="G18" s="194">
        <v>3846.18</v>
      </c>
      <c r="H18" s="194">
        <v>6167.68</v>
      </c>
      <c r="I18" s="195">
        <v>56.7</v>
      </c>
      <c r="J18" s="198">
        <f>SUM(I18*C18)</f>
        <v>138234.6</v>
      </c>
      <c r="K18" s="198">
        <f>SUM(I18*D18)</f>
        <v>164316.6</v>
      </c>
      <c r="L18" s="198">
        <f t="shared" ref="L18" si="5">SUM(I18*E18)</f>
        <v>176488.95600000001</v>
      </c>
      <c r="M18" s="198">
        <f t="shared" ref="M18" si="6">SUM(I18*F18)</f>
        <v>186411.45600000001</v>
      </c>
      <c r="N18" s="198">
        <f t="shared" ref="N18" si="7">SUM(I18*G18)</f>
        <v>218078.40599999999</v>
      </c>
      <c r="O18" s="198">
        <f t="shared" ref="O18" si="8">SUM(I18*H18)</f>
        <v>349707.45600000001</v>
      </c>
      <c r="P18" s="196">
        <f t="shared" si="0"/>
        <v>118.86792452830188</v>
      </c>
      <c r="Q18" s="196">
        <f t="shared" si="0"/>
        <v>107.407867494824</v>
      </c>
      <c r="R18" s="196">
        <f t="shared" si="0"/>
        <v>105.6221648225966</v>
      </c>
      <c r="S18" s="196">
        <f t="shared" si="0"/>
        <v>116.98766303289855</v>
      </c>
      <c r="T18" s="196">
        <f t="shared" si="0"/>
        <v>160.358589561591</v>
      </c>
    </row>
    <row r="19" spans="1:20" ht="54" customHeight="1" x14ac:dyDescent="0.4">
      <c r="A19" s="209" t="s">
        <v>98</v>
      </c>
      <c r="B19" s="193"/>
      <c r="C19" s="194"/>
      <c r="D19" s="194"/>
      <c r="E19" s="194"/>
      <c r="F19" s="194"/>
      <c r="G19" s="194"/>
      <c r="H19" s="194"/>
      <c r="I19" s="195"/>
      <c r="J19" s="198"/>
      <c r="K19" s="198"/>
      <c r="L19" s="196"/>
      <c r="M19" s="196"/>
      <c r="N19" s="196"/>
      <c r="O19" s="196"/>
      <c r="P19" s="196"/>
      <c r="Q19" s="196"/>
      <c r="R19" s="196"/>
      <c r="S19" s="196"/>
      <c r="T19" s="196"/>
    </row>
    <row r="20" spans="1:20" ht="26.25" x14ac:dyDescent="0.4">
      <c r="A20" s="197" t="s">
        <v>52</v>
      </c>
      <c r="B20" s="193" t="s">
        <v>44</v>
      </c>
      <c r="C20" s="194">
        <v>0</v>
      </c>
      <c r="D20" s="194">
        <v>0</v>
      </c>
      <c r="E20" s="194">
        <v>0</v>
      </c>
      <c r="F20" s="194">
        <v>0</v>
      </c>
      <c r="G20" s="194">
        <v>0</v>
      </c>
      <c r="H20" s="194">
        <v>0</v>
      </c>
      <c r="I20" s="195">
        <v>9.4</v>
      </c>
      <c r="J20" s="198">
        <v>0</v>
      </c>
      <c r="K20" s="198">
        <v>0</v>
      </c>
      <c r="L20" s="198">
        <f t="shared" ref="L20:O20" si="9">SUM(I20*E20)</f>
        <v>0</v>
      </c>
      <c r="M20" s="198">
        <f t="shared" si="9"/>
        <v>0</v>
      </c>
      <c r="N20" s="198">
        <f t="shared" si="9"/>
        <v>0</v>
      </c>
      <c r="O20" s="198">
        <f t="shared" si="9"/>
        <v>0</v>
      </c>
      <c r="P20" s="196">
        <v>0</v>
      </c>
      <c r="Q20" s="196">
        <v>0</v>
      </c>
      <c r="R20" s="196">
        <v>0</v>
      </c>
      <c r="S20" s="196">
        <v>0</v>
      </c>
      <c r="T20" s="196">
        <v>0</v>
      </c>
    </row>
    <row r="21" spans="1:20" ht="26.25" x14ac:dyDescent="0.4">
      <c r="A21" s="197" t="s">
        <v>53</v>
      </c>
      <c r="B21" s="193" t="s">
        <v>44</v>
      </c>
      <c r="C21" s="194"/>
      <c r="D21" s="194"/>
      <c r="E21" s="194"/>
      <c r="F21" s="194"/>
      <c r="G21" s="194"/>
      <c r="H21" s="194"/>
      <c r="I21" s="195">
        <v>5.73</v>
      </c>
      <c r="J21" s="198"/>
      <c r="K21" s="198"/>
      <c r="L21" s="196"/>
      <c r="M21" s="196"/>
      <c r="N21" s="196"/>
      <c r="O21" s="196"/>
      <c r="P21" s="196"/>
      <c r="Q21" s="196"/>
      <c r="R21" s="196"/>
      <c r="S21" s="196"/>
      <c r="T21" s="196"/>
    </row>
    <row r="22" spans="1:20" ht="26.25" x14ac:dyDescent="0.4">
      <c r="A22" s="197" t="s">
        <v>54</v>
      </c>
      <c r="B22" s="193" t="s">
        <v>44</v>
      </c>
      <c r="C22" s="194"/>
      <c r="D22" s="194"/>
      <c r="E22" s="194"/>
      <c r="F22" s="194"/>
      <c r="G22" s="194"/>
      <c r="H22" s="194"/>
      <c r="I22" s="195">
        <v>6.56</v>
      </c>
      <c r="J22" s="198"/>
      <c r="K22" s="198"/>
      <c r="L22" s="196"/>
      <c r="M22" s="196"/>
      <c r="N22" s="196"/>
      <c r="O22" s="196"/>
      <c r="P22" s="196"/>
      <c r="Q22" s="196"/>
      <c r="R22" s="196"/>
      <c r="S22" s="196"/>
      <c r="T22" s="196"/>
    </row>
    <row r="23" spans="1:20" ht="52.5" x14ac:dyDescent="0.4">
      <c r="A23" s="197" t="s">
        <v>55</v>
      </c>
      <c r="B23" s="193" t="s">
        <v>56</v>
      </c>
      <c r="C23" s="194">
        <v>0.38700000000000001</v>
      </c>
      <c r="D23" s="194">
        <v>0.34399999999999997</v>
      </c>
      <c r="E23" s="194">
        <v>0.34489999999999998</v>
      </c>
      <c r="F23" s="194">
        <v>0.34489999999999998</v>
      </c>
      <c r="G23" s="194">
        <v>0.34489999999999998</v>
      </c>
      <c r="H23" s="194">
        <v>0.34489999999999998</v>
      </c>
      <c r="I23" s="195">
        <v>272.37</v>
      </c>
      <c r="J23" s="198">
        <f>SUM(I23*C23)</f>
        <v>105.40719</v>
      </c>
      <c r="K23" s="198">
        <f>SUM(I23*D23)</f>
        <v>93.695279999999997</v>
      </c>
      <c r="L23" s="198">
        <f>SUM(I23*E23)</f>
        <v>93.940412999999992</v>
      </c>
      <c r="M23" s="198">
        <f>SUM(I23*F23)</f>
        <v>93.940412999999992</v>
      </c>
      <c r="N23" s="198">
        <f>SUM(I23*G23)</f>
        <v>93.940412999999992</v>
      </c>
      <c r="O23" s="198">
        <f>SUM(I23*H23)</f>
        <v>93.940412999999992</v>
      </c>
      <c r="P23" s="196">
        <f>SUM(K23/J23*100)</f>
        <v>88.888888888888886</v>
      </c>
      <c r="Q23" s="196">
        <f>SUM(L23/K23*100)</f>
        <v>100.26162790697674</v>
      </c>
      <c r="R23" s="196">
        <f>SUM(M23/L23*100)</f>
        <v>100</v>
      </c>
      <c r="S23" s="196">
        <f>SUM(N23/M23*100)</f>
        <v>100</v>
      </c>
      <c r="T23" s="196">
        <f>SUM(O23/N23*100)</f>
        <v>100</v>
      </c>
    </row>
    <row r="24" spans="1:20" ht="52.5" customHeight="1" x14ac:dyDescent="0.4">
      <c r="A24" s="209" t="s">
        <v>99</v>
      </c>
      <c r="B24" s="193"/>
      <c r="C24" s="194"/>
      <c r="D24" s="194"/>
      <c r="E24" s="194"/>
      <c r="F24" s="194"/>
      <c r="G24" s="194"/>
      <c r="H24" s="194"/>
      <c r="I24" s="195"/>
      <c r="J24" s="198"/>
      <c r="K24" s="198"/>
      <c r="L24" s="196"/>
      <c r="M24" s="196"/>
      <c r="N24" s="196"/>
      <c r="O24" s="196"/>
      <c r="P24" s="196"/>
      <c r="Q24" s="196"/>
      <c r="R24" s="196"/>
      <c r="S24" s="196"/>
      <c r="T24" s="196"/>
    </row>
    <row r="25" spans="1:20" ht="26.25" x14ac:dyDescent="0.4">
      <c r="A25" s="197" t="s">
        <v>57</v>
      </c>
      <c r="B25" s="195" t="s">
        <v>43</v>
      </c>
      <c r="C25" s="194">
        <v>0.40350000000000003</v>
      </c>
      <c r="D25" s="194">
        <v>0</v>
      </c>
      <c r="E25" s="194">
        <v>0</v>
      </c>
      <c r="F25" s="194">
        <v>0</v>
      </c>
      <c r="G25" s="194">
        <v>0</v>
      </c>
      <c r="H25" s="194">
        <v>0</v>
      </c>
      <c r="I25" s="195">
        <v>3293.29</v>
      </c>
      <c r="J25" s="198">
        <f>SUM(I25*C25)</f>
        <v>1328.842515</v>
      </c>
      <c r="K25" s="198">
        <f>SUM(I25*D25)</f>
        <v>0</v>
      </c>
      <c r="L25" s="198">
        <f>SUM(I25*E25)</f>
        <v>0</v>
      </c>
      <c r="M25" s="198">
        <f>SUM(I25*F25)</f>
        <v>0</v>
      </c>
      <c r="N25" s="198">
        <f>SUM(I25*G25)</f>
        <v>0</v>
      </c>
      <c r="O25" s="198">
        <f>SUM(I25*H25)</f>
        <v>0</v>
      </c>
      <c r="P25" s="196">
        <f>SUM(K25/J25*100)</f>
        <v>0</v>
      </c>
      <c r="Q25" s="196"/>
      <c r="R25" s="196"/>
      <c r="S25" s="196"/>
      <c r="T25" s="196"/>
    </row>
    <row r="26" spans="1:20" ht="26.25" x14ac:dyDescent="0.4">
      <c r="A26" s="197" t="s">
        <v>58</v>
      </c>
      <c r="B26" s="195" t="s">
        <v>43</v>
      </c>
      <c r="C26" s="194">
        <v>0.56740000000000002</v>
      </c>
      <c r="D26" s="194">
        <v>0.17799999999999999</v>
      </c>
      <c r="E26" s="194">
        <v>0.17799999999999999</v>
      </c>
      <c r="F26" s="194">
        <v>0.17799999999999999</v>
      </c>
      <c r="G26" s="194">
        <v>0.17799999999999999</v>
      </c>
      <c r="H26" s="194">
        <v>0.17799999999999999</v>
      </c>
      <c r="I26" s="195">
        <v>1080.03</v>
      </c>
      <c r="J26" s="196">
        <f>SUM(I26*C26)</f>
        <v>612.80902200000003</v>
      </c>
      <c r="K26" s="196">
        <f>SUM(I26*D26)</f>
        <v>192.24534</v>
      </c>
      <c r="L26" s="198">
        <f>SUM(I26*E26)</f>
        <v>192.24534</v>
      </c>
      <c r="M26" s="198">
        <f>SUM(I26*F26)</f>
        <v>192.24534</v>
      </c>
      <c r="N26" s="198">
        <f>SUM(I26*G26)</f>
        <v>192.24534</v>
      </c>
      <c r="O26" s="198">
        <f>SUM(I26*H26)</f>
        <v>192.24534</v>
      </c>
      <c r="P26" s="196">
        <f>SUM(K26/J26*100)</f>
        <v>31.371166725414167</v>
      </c>
      <c r="Q26" s="196">
        <f t="shared" ref="Q26:T27" si="10">SUM(L26/K26*100)</f>
        <v>100</v>
      </c>
      <c r="R26" s="196">
        <f t="shared" si="10"/>
        <v>100</v>
      </c>
      <c r="S26" s="196">
        <f t="shared" si="10"/>
        <v>100</v>
      </c>
      <c r="T26" s="196">
        <f t="shared" si="10"/>
        <v>100</v>
      </c>
    </row>
    <row r="27" spans="1:20" ht="27.75" x14ac:dyDescent="0.4">
      <c r="A27" s="210" t="s">
        <v>45</v>
      </c>
      <c r="B27" s="211" t="s">
        <v>86</v>
      </c>
      <c r="C27" s="201" t="s">
        <v>86</v>
      </c>
      <c r="D27" s="201" t="s">
        <v>86</v>
      </c>
      <c r="E27" s="201" t="s">
        <v>86</v>
      </c>
      <c r="F27" s="201"/>
      <c r="G27" s="201" t="s">
        <v>86</v>
      </c>
      <c r="H27" s="201"/>
      <c r="I27" s="202" t="s">
        <v>86</v>
      </c>
      <c r="J27" s="203">
        <f>SUM(J15+J16+J17+J18+J20+J23+J25+J26)</f>
        <v>163973.265767</v>
      </c>
      <c r="K27" s="212">
        <f>SUM(K15:K26)</f>
        <v>213499.06510000001</v>
      </c>
      <c r="L27" s="212">
        <f>SUM(L15:L26)</f>
        <v>211300.965753</v>
      </c>
      <c r="M27" s="212">
        <f>SUM(M15:M26)</f>
        <v>295209.285753</v>
      </c>
      <c r="N27" s="212">
        <f>SUM(N15:N26)</f>
        <v>364390.17575300002</v>
      </c>
      <c r="O27" s="212">
        <f>SUM(O15:O26)</f>
        <v>529515.14575299993</v>
      </c>
      <c r="P27" s="203">
        <f>SUM(K27/J27*100)</f>
        <v>130.20358172494676</v>
      </c>
      <c r="Q27" s="203">
        <f t="shared" si="10"/>
        <v>98.970440762365655</v>
      </c>
      <c r="R27" s="203">
        <f t="shared" si="10"/>
        <v>139.71033435695915</v>
      </c>
      <c r="S27" s="203">
        <f t="shared" si="10"/>
        <v>123.43452368835148</v>
      </c>
      <c r="T27" s="203">
        <f t="shared" si="10"/>
        <v>145.31542862229333</v>
      </c>
    </row>
    <row r="28" spans="1:20" ht="27" x14ac:dyDescent="0.2">
      <c r="A28" s="303" t="s">
        <v>59</v>
      </c>
      <c r="B28" s="304"/>
      <c r="C28" s="304"/>
      <c r="D28" s="304"/>
      <c r="E28" s="304"/>
      <c r="F28" s="304"/>
      <c r="G28" s="304"/>
      <c r="H28" s="304"/>
      <c r="I28" s="304"/>
      <c r="J28" s="304"/>
      <c r="K28" s="304"/>
      <c r="L28" s="304"/>
      <c r="M28" s="304"/>
      <c r="N28" s="304"/>
      <c r="O28" s="304"/>
      <c r="P28" s="304"/>
      <c r="Q28" s="304"/>
      <c r="R28" s="304"/>
      <c r="S28" s="304"/>
      <c r="T28" s="305"/>
    </row>
    <row r="29" spans="1:20" ht="26.25" x14ac:dyDescent="0.4">
      <c r="A29" s="192" t="s">
        <v>61</v>
      </c>
      <c r="B29" s="193"/>
      <c r="C29" s="194"/>
      <c r="D29" s="194"/>
      <c r="E29" s="194"/>
      <c r="F29" s="194"/>
      <c r="G29" s="194"/>
      <c r="H29" s="194"/>
      <c r="I29" s="195"/>
      <c r="J29" s="196"/>
      <c r="K29" s="196"/>
      <c r="L29" s="196"/>
      <c r="M29" s="196"/>
      <c r="N29" s="196"/>
      <c r="O29" s="196"/>
      <c r="P29" s="196"/>
      <c r="Q29" s="196"/>
      <c r="R29" s="196"/>
      <c r="S29" s="196"/>
      <c r="T29" s="196"/>
    </row>
    <row r="30" spans="1:20" ht="57.75" customHeight="1" x14ac:dyDescent="0.4">
      <c r="A30" s="213" t="s">
        <v>60</v>
      </c>
      <c r="B30" s="195" t="s">
        <v>85</v>
      </c>
      <c r="C30" s="194">
        <v>179.18</v>
      </c>
      <c r="D30" s="194">
        <v>174.57</v>
      </c>
      <c r="E30" s="194">
        <v>176.108</v>
      </c>
      <c r="F30" s="194">
        <v>180.1</v>
      </c>
      <c r="G30" s="194">
        <v>181.1</v>
      </c>
      <c r="H30" s="194">
        <v>182.108</v>
      </c>
      <c r="I30" s="195">
        <v>173.54</v>
      </c>
      <c r="J30" s="196">
        <f>SUM(I30*C30)</f>
        <v>31094.897199999999</v>
      </c>
      <c r="K30" s="196">
        <f>SUM(I30*D30)</f>
        <v>30294.877799999998</v>
      </c>
      <c r="L30" s="198">
        <f>SUM(I30*E30)</f>
        <v>30561.782319999998</v>
      </c>
      <c r="M30" s="198">
        <f>SUM(I30*F30)</f>
        <v>31254.553999999996</v>
      </c>
      <c r="N30" s="198">
        <f>SUM(I30*G30)</f>
        <v>31428.093999999997</v>
      </c>
      <c r="O30" s="198">
        <f>SUM(I30*H30)</f>
        <v>31603.02232</v>
      </c>
      <c r="P30" s="196">
        <f>SUM(K30/J30*100)</f>
        <v>97.427168210737804</v>
      </c>
      <c r="Q30" s="196">
        <f>SUM(L30/K30*100)</f>
        <v>100.88102193962307</v>
      </c>
      <c r="R30" s="196">
        <f>SUM(M30/L30*100)</f>
        <v>102.26679083289798</v>
      </c>
      <c r="S30" s="196">
        <f>SUM(N30/M30*100)</f>
        <v>100.55524708495281</v>
      </c>
      <c r="T30" s="196">
        <f>SUM(O30/N30*100)</f>
        <v>100.55659856432911</v>
      </c>
    </row>
    <row r="31" spans="1:20" ht="51.75" x14ac:dyDescent="0.4">
      <c r="A31" s="192" t="s">
        <v>63</v>
      </c>
      <c r="B31" s="193"/>
      <c r="C31" s="194"/>
      <c r="D31" s="194"/>
      <c r="E31" s="194"/>
      <c r="F31" s="194"/>
      <c r="G31" s="194"/>
      <c r="H31" s="194"/>
      <c r="I31" s="195"/>
      <c r="J31" s="196"/>
      <c r="K31" s="196"/>
      <c r="L31" s="196"/>
      <c r="M31" s="196"/>
      <c r="N31" s="196"/>
      <c r="O31" s="196"/>
      <c r="P31" s="196"/>
      <c r="Q31" s="196"/>
      <c r="R31" s="196"/>
      <c r="S31" s="196"/>
      <c r="T31" s="196"/>
    </row>
    <row r="32" spans="1:20" ht="26.25" x14ac:dyDescent="0.4">
      <c r="A32" s="197" t="s">
        <v>64</v>
      </c>
      <c r="B32" s="193" t="s">
        <v>62</v>
      </c>
      <c r="C32" s="194">
        <v>354.51</v>
      </c>
      <c r="D32" s="194">
        <v>326.64999999999998</v>
      </c>
      <c r="E32" s="194">
        <v>557.33500000000004</v>
      </c>
      <c r="F32" s="194">
        <v>745.09900000000005</v>
      </c>
      <c r="G32" s="194">
        <v>765.29300000000001</v>
      </c>
      <c r="H32" s="194">
        <v>615.09299999999996</v>
      </c>
      <c r="I32" s="195">
        <v>288.31</v>
      </c>
      <c r="J32" s="196">
        <f>SUM(I32*C32)</f>
        <v>102208.7781</v>
      </c>
      <c r="K32" s="196">
        <f>SUM(I32*D32)</f>
        <v>94176.46149999999</v>
      </c>
      <c r="L32" s="198">
        <f>SUM(I32*E32)</f>
        <v>160685.25385000001</v>
      </c>
      <c r="M32" s="198">
        <f>SUM(I32*F32)</f>
        <v>214819.49269000001</v>
      </c>
      <c r="N32" s="198">
        <f>SUM(I32*G32)</f>
        <v>220641.62483000002</v>
      </c>
      <c r="O32" s="198">
        <f>SUM(I32*H32)</f>
        <v>177337.46283</v>
      </c>
      <c r="P32" s="196">
        <f>SUM(K32/J32*100)</f>
        <v>92.141265408592133</v>
      </c>
      <c r="Q32" s="196">
        <f>SUM(L32/K32*100)</f>
        <v>170.62146027858566</v>
      </c>
      <c r="R32" s="196">
        <f>SUM(M32/L32*100)</f>
        <v>133.68961217221241</v>
      </c>
      <c r="S32" s="196">
        <f>SUM(N32/M32*100)</f>
        <v>102.7102438736329</v>
      </c>
      <c r="T32" s="196">
        <f>SUM(O32/N32*100)</f>
        <v>80.373530138130107</v>
      </c>
    </row>
    <row r="33" spans="1:20" ht="30.75" customHeight="1" x14ac:dyDescent="0.4">
      <c r="A33" s="192" t="s">
        <v>65</v>
      </c>
      <c r="B33" s="193"/>
      <c r="C33" s="194"/>
      <c r="D33" s="194"/>
      <c r="E33" s="194"/>
      <c r="F33" s="194"/>
      <c r="G33" s="194"/>
      <c r="H33" s="194"/>
      <c r="I33" s="195"/>
      <c r="J33" s="196"/>
      <c r="K33" s="196"/>
      <c r="L33" s="196"/>
      <c r="M33" s="196"/>
      <c r="N33" s="196"/>
      <c r="O33" s="196"/>
      <c r="P33" s="196"/>
      <c r="Q33" s="196"/>
      <c r="R33" s="196"/>
      <c r="S33" s="196"/>
      <c r="T33" s="196"/>
    </row>
    <row r="34" spans="1:20" ht="26.25" x14ac:dyDescent="0.4">
      <c r="A34" s="197" t="s">
        <v>66</v>
      </c>
      <c r="B34" s="193" t="s">
        <v>62</v>
      </c>
      <c r="C34" s="194">
        <v>354.51</v>
      </c>
      <c r="D34" s="194">
        <v>326.64999999999998</v>
      </c>
      <c r="E34" s="194">
        <v>557.33500000000004</v>
      </c>
      <c r="F34" s="194">
        <v>745.09900000000005</v>
      </c>
      <c r="G34" s="194">
        <v>765.29300000000001</v>
      </c>
      <c r="H34" s="194">
        <v>615.09299999999996</v>
      </c>
      <c r="I34" s="195">
        <v>288.31</v>
      </c>
      <c r="J34" s="196">
        <f>SUM(I34*C34)</f>
        <v>102208.7781</v>
      </c>
      <c r="K34" s="196">
        <f>SUM(I34*D34)</f>
        <v>94176.46149999999</v>
      </c>
      <c r="L34" s="198">
        <f>SUM(I34*E34)</f>
        <v>160685.25385000001</v>
      </c>
      <c r="M34" s="198">
        <f>SUM(I34*F34)</f>
        <v>214819.49269000001</v>
      </c>
      <c r="N34" s="198">
        <f>SUM(I34*G34)</f>
        <v>220641.62483000002</v>
      </c>
      <c r="O34" s="198">
        <f>SUM(I34*H34)</f>
        <v>177337.46283</v>
      </c>
      <c r="P34" s="196">
        <f>SUM(K34/J34*100)</f>
        <v>92.141265408592133</v>
      </c>
      <c r="Q34" s="196">
        <f>SUM(L34/K34*100)</f>
        <v>170.62146027858566</v>
      </c>
      <c r="R34" s="196">
        <f>SUM(M34/L34*100)</f>
        <v>133.68961217221241</v>
      </c>
      <c r="S34" s="196">
        <f>SUM(N34/M34*100)</f>
        <v>102.7102438736329</v>
      </c>
      <c r="T34" s="196">
        <f>SUM(O34/N34*100)</f>
        <v>80.373530138130107</v>
      </c>
    </row>
    <row r="35" spans="1:20" ht="52.5" customHeight="1" x14ac:dyDescent="0.4">
      <c r="A35" s="192" t="s">
        <v>67</v>
      </c>
      <c r="B35" s="193"/>
      <c r="C35" s="194"/>
      <c r="D35" s="194"/>
      <c r="E35" s="194"/>
      <c r="F35" s="194"/>
      <c r="G35" s="194"/>
      <c r="H35" s="194"/>
      <c r="I35" s="195"/>
      <c r="J35" s="196"/>
      <c r="K35" s="196"/>
      <c r="L35" s="196"/>
      <c r="M35" s="196"/>
      <c r="N35" s="196"/>
      <c r="O35" s="196"/>
      <c r="P35" s="196"/>
      <c r="Q35" s="196"/>
      <c r="R35" s="196"/>
      <c r="S35" s="196"/>
      <c r="T35" s="196"/>
    </row>
    <row r="36" spans="1:20" ht="26.25" x14ac:dyDescent="0.4">
      <c r="A36" s="214" t="s">
        <v>66</v>
      </c>
      <c r="B36" s="215" t="s">
        <v>62</v>
      </c>
      <c r="C36" s="216"/>
      <c r="D36" s="216"/>
      <c r="E36" s="216"/>
      <c r="F36" s="216"/>
      <c r="G36" s="216"/>
      <c r="H36" s="216"/>
      <c r="I36" s="217">
        <v>146.52000000000001</v>
      </c>
      <c r="J36" s="218"/>
      <c r="K36" s="218"/>
      <c r="L36" s="218"/>
      <c r="M36" s="218"/>
      <c r="N36" s="218"/>
      <c r="O36" s="218"/>
      <c r="P36" s="218"/>
      <c r="Q36" s="218"/>
      <c r="R36" s="218"/>
      <c r="S36" s="218"/>
      <c r="T36" s="218"/>
    </row>
    <row r="37" spans="1:20" ht="47.25" customHeight="1" x14ac:dyDescent="0.4">
      <c r="A37" s="219" t="s">
        <v>45</v>
      </c>
      <c r="B37" s="220"/>
      <c r="C37" s="221"/>
      <c r="D37" s="221"/>
      <c r="E37" s="221"/>
      <c r="F37" s="221"/>
      <c r="G37" s="221"/>
      <c r="H37" s="221"/>
      <c r="I37" s="222"/>
      <c r="J37" s="223">
        <f>SUM(J30+J32)</f>
        <v>133303.6753</v>
      </c>
      <c r="K37" s="223">
        <f>SUM(K30+K32)</f>
        <v>124471.33929999999</v>
      </c>
      <c r="L37" s="224">
        <f>SUM(L30:L34)</f>
        <v>351932.29002000001</v>
      </c>
      <c r="M37" s="224">
        <f>SUM(M30:M34)</f>
        <v>460893.53938000003</v>
      </c>
      <c r="N37" s="224">
        <f>SUM(N30:N34)</f>
        <v>472711.34366000001</v>
      </c>
      <c r="O37" s="224">
        <f>SUM(O30:O34)</f>
        <v>386277.94798</v>
      </c>
      <c r="P37" s="223">
        <f t="shared" ref="P37:T38" si="11">SUM(K37/J37*100)</f>
        <v>93.374274205026353</v>
      </c>
      <c r="Q37" s="196">
        <f t="shared" si="11"/>
        <v>282.7416271080487</v>
      </c>
      <c r="R37" s="196">
        <f t="shared" si="11"/>
        <v>130.9608559515263</v>
      </c>
      <c r="S37" s="196">
        <f t="shared" si="11"/>
        <v>102.56410716798014</v>
      </c>
      <c r="T37" s="196">
        <f t="shared" si="11"/>
        <v>81.715396332403728</v>
      </c>
    </row>
    <row r="38" spans="1:20" ht="71.25" customHeight="1" x14ac:dyDescent="0.4">
      <c r="A38" s="225" t="s">
        <v>68</v>
      </c>
      <c r="B38" s="201" t="s">
        <v>86</v>
      </c>
      <c r="C38" s="201" t="s">
        <v>86</v>
      </c>
      <c r="D38" s="201" t="s">
        <v>86</v>
      </c>
      <c r="E38" s="201" t="s">
        <v>86</v>
      </c>
      <c r="F38" s="201"/>
      <c r="G38" s="201" t="s">
        <v>86</v>
      </c>
      <c r="H38" s="201"/>
      <c r="I38" s="201" t="s">
        <v>86</v>
      </c>
      <c r="J38" s="212">
        <f t="shared" ref="J38:O38" si="12">SUM(J12+J27+J37)</f>
        <v>419636.02706699999</v>
      </c>
      <c r="K38" s="212">
        <f t="shared" si="12"/>
        <v>457963.82439999998</v>
      </c>
      <c r="L38" s="212">
        <f t="shared" si="12"/>
        <v>716716.52577299997</v>
      </c>
      <c r="M38" s="212">
        <f t="shared" si="12"/>
        <v>909586.09513300005</v>
      </c>
      <c r="N38" s="212">
        <f t="shared" si="12"/>
        <v>990584.78941299999</v>
      </c>
      <c r="O38" s="212">
        <f t="shared" si="12"/>
        <v>1069276.3637329999</v>
      </c>
      <c r="P38" s="203">
        <f t="shared" si="11"/>
        <v>109.13358121343583</v>
      </c>
      <c r="Q38" s="203">
        <f t="shared" si="11"/>
        <v>156.50068577185198</v>
      </c>
      <c r="R38" s="203">
        <f t="shared" si="11"/>
        <v>126.91016077130139</v>
      </c>
      <c r="S38" s="203">
        <f t="shared" si="11"/>
        <v>108.90500577278024</v>
      </c>
      <c r="T38" s="203">
        <f t="shared" si="11"/>
        <v>107.9439514073935</v>
      </c>
    </row>
    <row r="39" spans="1:20" ht="27.75" x14ac:dyDescent="0.4">
      <c r="A39" s="11"/>
      <c r="B39" s="26"/>
      <c r="C39" s="8"/>
      <c r="D39" s="8"/>
      <c r="E39" s="8"/>
      <c r="F39" s="8"/>
      <c r="G39" s="8"/>
      <c r="H39" s="8"/>
      <c r="I39" s="31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ht="26.25" x14ac:dyDescent="0.4">
      <c r="A40" s="307" t="s">
        <v>88</v>
      </c>
      <c r="B40" s="308"/>
      <c r="C40" s="308"/>
      <c r="D40" s="308"/>
      <c r="E40" s="308"/>
      <c r="F40" s="308"/>
      <c r="G40" s="308"/>
      <c r="H40" s="308"/>
      <c r="I40" s="308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ht="26.25" x14ac:dyDescent="0.4">
      <c r="A41" s="12" t="s">
        <v>106</v>
      </c>
      <c r="B41" s="27"/>
      <c r="C41" s="13"/>
      <c r="D41" s="13"/>
      <c r="E41" s="13"/>
      <c r="F41" s="13"/>
      <c r="G41" s="13"/>
      <c r="H41" s="13"/>
      <c r="I41" s="32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</row>
    <row r="42" spans="1:20" ht="57.75" customHeight="1" x14ac:dyDescent="0.2">
      <c r="A42" s="306" t="s">
        <v>91</v>
      </c>
      <c r="B42" s="306"/>
      <c r="C42" s="306"/>
      <c r="D42" s="306"/>
      <c r="E42" s="306"/>
      <c r="F42" s="306"/>
      <c r="G42" s="306"/>
      <c r="H42" s="306"/>
      <c r="I42" s="306"/>
      <c r="J42" s="306"/>
      <c r="K42" s="306"/>
      <c r="L42" s="306"/>
      <c r="M42" s="306"/>
      <c r="N42" s="306"/>
      <c r="O42" s="306"/>
      <c r="P42" s="306"/>
      <c r="Q42" s="306"/>
      <c r="R42" s="306"/>
      <c r="S42" s="306"/>
    </row>
    <row r="43" spans="1:20" ht="20.25" x14ac:dyDescent="0.3">
      <c r="A43" s="10"/>
      <c r="B43" s="28"/>
      <c r="C43" s="5"/>
      <c r="D43" s="5"/>
      <c r="E43" s="5"/>
      <c r="F43" s="5"/>
      <c r="G43" s="5"/>
      <c r="H43" s="5"/>
      <c r="I43" s="33"/>
      <c r="J43" s="6"/>
      <c r="K43" s="6"/>
      <c r="L43" s="6"/>
      <c r="M43" s="6"/>
      <c r="N43" s="6"/>
      <c r="O43" s="6"/>
      <c r="P43" s="6"/>
      <c r="Q43" s="6"/>
      <c r="R43" s="6"/>
      <c r="S43" s="6"/>
    </row>
    <row r="44" spans="1:20" ht="20.25" x14ac:dyDescent="0.3">
      <c r="A44" s="5"/>
      <c r="B44" s="28"/>
      <c r="C44" s="5"/>
      <c r="D44" s="5"/>
      <c r="E44" s="5"/>
      <c r="F44" s="5"/>
      <c r="G44" s="5"/>
      <c r="H44" s="5"/>
      <c r="I44" s="33"/>
      <c r="J44" s="6"/>
      <c r="K44" s="6"/>
      <c r="L44" s="6"/>
      <c r="M44" s="6"/>
      <c r="N44" s="6"/>
      <c r="O44" s="6"/>
      <c r="P44" s="6"/>
      <c r="Q44" s="6"/>
      <c r="R44" s="6"/>
      <c r="S44" s="6"/>
    </row>
    <row r="45" spans="1:20" ht="20.25" x14ac:dyDescent="0.3">
      <c r="A45" s="5"/>
      <c r="B45" s="28"/>
      <c r="C45" s="5"/>
      <c r="D45" s="5"/>
      <c r="E45" s="5"/>
      <c r="F45" s="5"/>
      <c r="G45" s="5"/>
      <c r="H45" s="5"/>
      <c r="I45" s="33"/>
      <c r="J45" s="6"/>
      <c r="K45" s="6"/>
      <c r="L45" s="6"/>
      <c r="M45" s="6"/>
      <c r="N45" s="6"/>
      <c r="O45" s="6"/>
      <c r="P45" s="6"/>
      <c r="Q45" s="6"/>
      <c r="R45" s="6"/>
      <c r="S45" s="6"/>
    </row>
    <row r="46" spans="1:20" ht="20.25" x14ac:dyDescent="0.3">
      <c r="A46" s="5"/>
      <c r="B46" s="28"/>
      <c r="C46" s="5"/>
      <c r="D46" s="5"/>
      <c r="E46" s="5"/>
      <c r="F46" s="5"/>
      <c r="G46" s="5"/>
      <c r="H46" s="5"/>
      <c r="I46" s="33"/>
      <c r="J46" s="6"/>
      <c r="K46" s="6"/>
      <c r="L46" s="6"/>
      <c r="M46" s="6"/>
      <c r="N46" s="6"/>
      <c r="O46" s="6"/>
      <c r="P46" s="6"/>
      <c r="Q46" s="6"/>
      <c r="R46" s="6"/>
      <c r="S46" s="6"/>
    </row>
    <row r="47" spans="1:20" ht="20.25" x14ac:dyDescent="0.3">
      <c r="A47" s="5"/>
      <c r="B47" s="28"/>
      <c r="C47" s="5"/>
      <c r="D47" s="5"/>
      <c r="E47" s="5"/>
      <c r="F47" s="5"/>
      <c r="G47" s="5"/>
      <c r="H47" s="5"/>
      <c r="I47" s="33"/>
      <c r="J47" s="6"/>
      <c r="K47" s="6"/>
      <c r="L47" s="6"/>
      <c r="M47" s="6"/>
      <c r="N47" s="6"/>
      <c r="O47" s="6"/>
      <c r="P47" s="6"/>
      <c r="Q47" s="6"/>
      <c r="R47" s="6"/>
      <c r="S47" s="6"/>
    </row>
    <row r="48" spans="1:20" ht="20.25" x14ac:dyDescent="0.3">
      <c r="A48" s="5"/>
      <c r="B48" s="28"/>
      <c r="C48" s="5"/>
      <c r="D48" s="5"/>
      <c r="E48" s="5"/>
      <c r="F48" s="5"/>
      <c r="G48" s="5"/>
      <c r="H48" s="5"/>
      <c r="I48" s="33"/>
      <c r="J48" s="6"/>
      <c r="K48" s="6"/>
      <c r="L48" s="6"/>
      <c r="M48" s="6"/>
      <c r="N48" s="6"/>
      <c r="O48" s="6"/>
      <c r="P48" s="6"/>
      <c r="Q48" s="6"/>
      <c r="R48" s="6"/>
      <c r="S48" s="6"/>
    </row>
    <row r="49" spans="1:19" ht="20.25" x14ac:dyDescent="0.3">
      <c r="A49" s="5"/>
      <c r="B49" s="28"/>
      <c r="C49" s="5"/>
      <c r="D49" s="5"/>
      <c r="E49" s="5"/>
      <c r="F49" s="5"/>
      <c r="G49" s="5"/>
      <c r="H49" s="5"/>
      <c r="I49" s="33"/>
      <c r="J49" s="6"/>
      <c r="K49" s="6"/>
      <c r="L49" s="6"/>
      <c r="M49" s="6"/>
      <c r="N49" s="6"/>
      <c r="O49" s="6"/>
      <c r="P49" s="6"/>
      <c r="Q49" s="6"/>
      <c r="R49" s="6"/>
      <c r="S49" s="6"/>
    </row>
    <row r="50" spans="1:19" ht="20.25" x14ac:dyDescent="0.3">
      <c r="A50" s="5"/>
      <c r="B50" s="28"/>
      <c r="C50" s="5"/>
      <c r="D50" s="5"/>
      <c r="E50" s="5"/>
      <c r="F50" s="5"/>
      <c r="G50" s="5"/>
      <c r="H50" s="5"/>
      <c r="I50" s="33"/>
      <c r="J50" s="6"/>
      <c r="K50" s="6"/>
      <c r="L50" s="6"/>
      <c r="M50" s="6"/>
      <c r="N50" s="6"/>
      <c r="O50" s="6"/>
      <c r="P50" s="6"/>
      <c r="Q50" s="6"/>
      <c r="R50" s="6"/>
      <c r="S50" s="6"/>
    </row>
    <row r="51" spans="1:19" x14ac:dyDescent="0.2">
      <c r="A51" s="7"/>
      <c r="B51" s="29"/>
      <c r="C51" s="7"/>
      <c r="D51" s="7"/>
      <c r="E51" s="7"/>
      <c r="F51" s="7"/>
      <c r="G51" s="7"/>
      <c r="H51" s="7"/>
      <c r="I51" s="34"/>
    </row>
    <row r="52" spans="1:19" x14ac:dyDescent="0.2">
      <c r="A52" s="7"/>
      <c r="B52" s="29"/>
      <c r="C52" s="7"/>
      <c r="D52" s="7"/>
      <c r="E52" s="7"/>
      <c r="F52" s="7"/>
      <c r="G52" s="7"/>
      <c r="H52" s="7"/>
      <c r="I52" s="34"/>
    </row>
    <row r="53" spans="1:19" x14ac:dyDescent="0.2">
      <c r="A53" s="7"/>
      <c r="B53" s="29"/>
      <c r="C53" s="7"/>
      <c r="D53" s="7"/>
      <c r="E53" s="7"/>
      <c r="F53" s="7"/>
      <c r="G53" s="7"/>
      <c r="H53" s="7"/>
      <c r="I53" s="34"/>
    </row>
    <row r="54" spans="1:19" x14ac:dyDescent="0.2">
      <c r="A54" s="7"/>
      <c r="B54" s="29"/>
      <c r="C54" s="7"/>
      <c r="D54" s="7"/>
      <c r="E54" s="7"/>
      <c r="F54" s="7"/>
      <c r="G54" s="7"/>
      <c r="H54" s="7"/>
      <c r="I54" s="34"/>
    </row>
    <row r="55" spans="1:19" x14ac:dyDescent="0.2">
      <c r="A55" s="7"/>
      <c r="B55" s="29"/>
      <c r="C55" s="7"/>
      <c r="D55" s="7"/>
      <c r="E55" s="7"/>
      <c r="F55" s="7"/>
      <c r="G55" s="7"/>
      <c r="H55" s="7"/>
      <c r="I55" s="34"/>
    </row>
    <row r="56" spans="1:19" x14ac:dyDescent="0.2">
      <c r="A56" s="7"/>
      <c r="B56" s="29"/>
      <c r="C56" s="7"/>
      <c r="D56" s="7"/>
      <c r="E56" s="7"/>
      <c r="F56" s="7"/>
      <c r="G56" s="7"/>
      <c r="H56" s="7"/>
      <c r="I56" s="34"/>
    </row>
    <row r="57" spans="1:19" x14ac:dyDescent="0.2">
      <c r="A57" s="7"/>
      <c r="B57" s="29"/>
      <c r="C57" s="7"/>
      <c r="D57" s="7"/>
      <c r="E57" s="7"/>
      <c r="F57" s="7"/>
      <c r="G57" s="7"/>
      <c r="H57" s="7"/>
      <c r="I57" s="34"/>
    </row>
  </sheetData>
  <mergeCells count="14">
    <mergeCell ref="A28:T28"/>
    <mergeCell ref="A42:S42"/>
    <mergeCell ref="A40:I40"/>
    <mergeCell ref="A13:T13"/>
    <mergeCell ref="N1:T1"/>
    <mergeCell ref="A9:T9"/>
    <mergeCell ref="B5:H5"/>
    <mergeCell ref="J5:O5"/>
    <mergeCell ref="A2:S2"/>
    <mergeCell ref="A3:S3"/>
    <mergeCell ref="A5:A6"/>
    <mergeCell ref="I5:I6"/>
    <mergeCell ref="P5:T5"/>
    <mergeCell ref="A8:T8"/>
  </mergeCells>
  <phoneticPr fontId="14" type="noConversion"/>
  <printOptions horizontalCentered="1"/>
  <pageMargins left="0.39370078740157483" right="0.39370078740157483" top="0.39370078740157483" bottom="0.39370078740157483" header="0.51181102362204722" footer="0.51181102362204722"/>
  <pageSetup paperSize="9" scale="33" fitToWidth="0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 enableFormatConditionsCalculation="0">
    <tabColor indexed="50"/>
  </sheetPr>
  <dimension ref="A1:J267"/>
  <sheetViews>
    <sheetView view="pageBreakPreview" topLeftCell="A4" zoomScale="75" zoomScaleNormal="100" workbookViewId="0">
      <selection activeCell="H75" sqref="H75"/>
    </sheetView>
  </sheetViews>
  <sheetFormatPr defaultColWidth="9.140625" defaultRowHeight="12.75" x14ac:dyDescent="0.2"/>
  <cols>
    <col min="1" max="1" width="42.7109375" style="66" customWidth="1"/>
    <col min="2" max="2" width="9.28515625" style="66" customWidth="1"/>
    <col min="3" max="5" width="14.7109375" style="38" customWidth="1"/>
    <col min="6" max="6" width="15.7109375" style="38" customWidth="1"/>
    <col min="7" max="7" width="12.28515625" style="38" customWidth="1"/>
    <col min="8" max="8" width="13.42578125" style="38" customWidth="1"/>
    <col min="9" max="9" width="13.5703125" style="38" customWidth="1"/>
    <col min="10" max="10" width="14.7109375" style="38" customWidth="1"/>
    <col min="11" max="16384" width="9.140625" style="38"/>
  </cols>
  <sheetData>
    <row r="1" spans="1:10" ht="15.75" x14ac:dyDescent="0.25">
      <c r="A1" s="36"/>
      <c r="B1" s="36"/>
      <c r="C1" s="37"/>
      <c r="D1" s="37"/>
      <c r="E1" s="37"/>
      <c r="F1" s="352" t="s">
        <v>128</v>
      </c>
      <c r="G1" s="352"/>
      <c r="H1" s="352"/>
      <c r="I1" s="352"/>
      <c r="J1" s="352"/>
    </row>
    <row r="2" spans="1:10" ht="24.75" customHeight="1" x14ac:dyDescent="0.2">
      <c r="A2" s="353" t="s">
        <v>129</v>
      </c>
      <c r="B2" s="353"/>
      <c r="C2" s="353"/>
      <c r="D2" s="353"/>
      <c r="E2" s="353"/>
      <c r="F2" s="353"/>
      <c r="G2" s="353"/>
      <c r="H2" s="353"/>
      <c r="I2" s="353"/>
      <c r="J2" s="353"/>
    </row>
    <row r="3" spans="1:10" ht="14.25" customHeight="1" x14ac:dyDescent="0.2">
      <c r="A3" s="354" t="s">
        <v>130</v>
      </c>
      <c r="B3" s="354"/>
      <c r="C3" s="354"/>
      <c r="D3" s="354"/>
      <c r="E3" s="354"/>
      <c r="F3" s="354"/>
      <c r="G3" s="354"/>
      <c r="H3" s="354"/>
      <c r="I3" s="354"/>
      <c r="J3" s="354"/>
    </row>
    <row r="4" spans="1:10" ht="14.25" customHeight="1" x14ac:dyDescent="0.2">
      <c r="A4" s="39"/>
      <c r="B4" s="39"/>
      <c r="C4" s="39"/>
      <c r="D4" s="39"/>
      <c r="E4" s="39"/>
      <c r="F4" s="39"/>
      <c r="G4" s="39"/>
      <c r="H4" s="39"/>
    </row>
    <row r="5" spans="1:10" ht="7.5" customHeight="1" x14ac:dyDescent="0.25">
      <c r="A5" s="355" t="s">
        <v>131</v>
      </c>
      <c r="B5" s="355"/>
      <c r="C5" s="355"/>
      <c r="D5" s="355"/>
      <c r="E5" s="355"/>
      <c r="F5" s="355"/>
      <c r="G5" s="355"/>
      <c r="H5" s="355"/>
      <c r="I5" s="355"/>
      <c r="J5" s="355"/>
    </row>
    <row r="6" spans="1:10" ht="15.75" x14ac:dyDescent="0.2">
      <c r="A6" s="354" t="s">
        <v>132</v>
      </c>
      <c r="B6" s="354"/>
      <c r="C6" s="354"/>
      <c r="D6" s="354"/>
      <c r="E6" s="354"/>
      <c r="F6" s="354"/>
      <c r="G6" s="354"/>
      <c r="H6" s="354"/>
      <c r="I6" s="354"/>
      <c r="J6" s="354"/>
    </row>
    <row r="7" spans="1:10" ht="13.5" thickBot="1" x14ac:dyDescent="0.25">
      <c r="A7" s="351"/>
      <c r="B7" s="351"/>
      <c r="C7" s="351"/>
      <c r="D7" s="351"/>
      <c r="E7" s="351"/>
      <c r="F7" s="351"/>
      <c r="G7" s="351"/>
      <c r="H7" s="351"/>
    </row>
    <row r="8" spans="1:10" ht="18.75" customHeight="1" x14ac:dyDescent="0.2">
      <c r="A8" s="328" t="s">
        <v>133</v>
      </c>
      <c r="B8" s="331" t="s">
        <v>134</v>
      </c>
      <c r="C8" s="339" t="s">
        <v>243</v>
      </c>
      <c r="D8" s="339" t="s">
        <v>263</v>
      </c>
      <c r="E8" s="339" t="s">
        <v>264</v>
      </c>
      <c r="F8" s="334" t="s">
        <v>135</v>
      </c>
      <c r="G8" s="335"/>
      <c r="H8" s="335"/>
      <c r="I8" s="336"/>
    </row>
    <row r="9" spans="1:10" ht="18.75" customHeight="1" x14ac:dyDescent="0.2">
      <c r="A9" s="329"/>
      <c r="B9" s="332"/>
      <c r="C9" s="332"/>
      <c r="D9" s="332"/>
      <c r="E9" s="332"/>
      <c r="F9" s="343">
        <v>2017</v>
      </c>
      <c r="G9" s="344"/>
      <c r="H9" s="337" t="s">
        <v>237</v>
      </c>
      <c r="I9" s="341" t="s">
        <v>258</v>
      </c>
    </row>
    <row r="10" spans="1:10" ht="16.5" customHeight="1" thickBot="1" x14ac:dyDescent="0.25">
      <c r="A10" s="330"/>
      <c r="B10" s="333"/>
      <c r="C10" s="340"/>
      <c r="D10" s="340"/>
      <c r="E10" s="340"/>
      <c r="F10" s="40" t="s">
        <v>92</v>
      </c>
      <c r="G10" s="41" t="s">
        <v>8</v>
      </c>
      <c r="H10" s="338"/>
      <c r="I10" s="342"/>
    </row>
    <row r="11" spans="1:10" ht="31.5" customHeight="1" x14ac:dyDescent="0.2">
      <c r="A11" s="42" t="s">
        <v>162</v>
      </c>
      <c r="B11" s="43" t="s">
        <v>14</v>
      </c>
      <c r="C11" s="44"/>
      <c r="D11" s="44"/>
      <c r="E11" s="44"/>
      <c r="F11" s="44"/>
      <c r="G11" s="45"/>
      <c r="H11" s="46"/>
      <c r="I11" s="45"/>
    </row>
    <row r="12" spans="1:10" ht="33" customHeight="1" x14ac:dyDescent="0.2">
      <c r="A12" s="47" t="s">
        <v>163</v>
      </c>
      <c r="B12" s="48" t="s">
        <v>14</v>
      </c>
      <c r="C12" s="49"/>
      <c r="D12" s="49"/>
      <c r="E12" s="49"/>
      <c r="F12" s="49"/>
      <c r="G12" s="50"/>
      <c r="H12" s="49"/>
      <c r="I12" s="50"/>
    </row>
    <row r="13" spans="1:10" ht="36.75" customHeight="1" x14ac:dyDescent="0.25">
      <c r="A13" s="47" t="s">
        <v>136</v>
      </c>
      <c r="B13" s="48" t="s">
        <v>137</v>
      </c>
      <c r="C13" s="51"/>
      <c r="D13" s="51"/>
      <c r="E13" s="51"/>
      <c r="F13" s="51"/>
      <c r="G13" s="52"/>
      <c r="H13" s="51"/>
      <c r="I13" s="52"/>
    </row>
    <row r="14" spans="1:10" ht="36" customHeight="1" x14ac:dyDescent="0.25">
      <c r="A14" s="47" t="s">
        <v>138</v>
      </c>
      <c r="B14" s="48" t="s">
        <v>137</v>
      </c>
      <c r="C14" s="51"/>
      <c r="D14" s="51"/>
      <c r="E14" s="51"/>
      <c r="F14" s="51"/>
      <c r="G14" s="52"/>
      <c r="H14" s="51"/>
      <c r="I14" s="52"/>
    </row>
    <row r="15" spans="1:10" ht="41.25" customHeight="1" x14ac:dyDescent="0.2">
      <c r="A15" s="47" t="s">
        <v>139</v>
      </c>
      <c r="B15" s="48" t="s">
        <v>137</v>
      </c>
      <c r="C15" s="49"/>
      <c r="D15" s="49"/>
      <c r="E15" s="49"/>
      <c r="F15" s="49"/>
      <c r="G15" s="50"/>
      <c r="H15" s="49"/>
      <c r="I15" s="50"/>
    </row>
    <row r="16" spans="1:10" ht="35.25" customHeight="1" x14ac:dyDescent="0.2">
      <c r="A16" s="53" t="s">
        <v>140</v>
      </c>
      <c r="B16" s="48" t="s">
        <v>14</v>
      </c>
      <c r="C16" s="49"/>
      <c r="D16" s="49"/>
      <c r="E16" s="49"/>
      <c r="F16" s="49"/>
      <c r="G16" s="50"/>
      <c r="H16" s="49"/>
      <c r="I16" s="50"/>
    </row>
    <row r="17" spans="1:9" ht="36.75" customHeight="1" x14ac:dyDescent="0.2">
      <c r="A17" s="47" t="s">
        <v>141</v>
      </c>
      <c r="B17" s="48" t="s">
        <v>137</v>
      </c>
      <c r="C17" s="49"/>
      <c r="D17" s="49"/>
      <c r="E17" s="49"/>
      <c r="F17" s="49"/>
      <c r="G17" s="50"/>
      <c r="H17" s="49"/>
      <c r="I17" s="50"/>
    </row>
    <row r="18" spans="1:9" ht="43.5" customHeight="1" x14ac:dyDescent="0.2">
      <c r="A18" s="47" t="s">
        <v>142</v>
      </c>
      <c r="B18" s="48" t="s">
        <v>137</v>
      </c>
      <c r="C18" s="49"/>
      <c r="D18" s="49"/>
      <c r="E18" s="49"/>
      <c r="F18" s="49"/>
      <c r="G18" s="50"/>
      <c r="H18" s="49"/>
      <c r="I18" s="50"/>
    </row>
    <row r="19" spans="1:9" ht="34.5" customHeight="1" x14ac:dyDescent="0.2">
      <c r="A19" s="47" t="s">
        <v>143</v>
      </c>
      <c r="B19" s="48" t="s">
        <v>15</v>
      </c>
      <c r="C19" s="49"/>
      <c r="D19" s="49"/>
      <c r="E19" s="49"/>
      <c r="F19" s="49"/>
      <c r="G19" s="50"/>
      <c r="H19" s="49"/>
      <c r="I19" s="50"/>
    </row>
    <row r="20" spans="1:9" ht="30.75" customHeight="1" x14ac:dyDescent="0.2">
      <c r="A20" s="47" t="s">
        <v>144</v>
      </c>
      <c r="B20" s="48"/>
      <c r="C20" s="49"/>
      <c r="D20" s="49"/>
      <c r="E20" s="49"/>
      <c r="F20" s="49"/>
      <c r="G20" s="50"/>
      <c r="H20" s="49"/>
      <c r="I20" s="50"/>
    </row>
    <row r="21" spans="1:9" ht="15.75" x14ac:dyDescent="0.2">
      <c r="A21" s="53" t="s">
        <v>145</v>
      </c>
      <c r="B21" s="48" t="s">
        <v>14</v>
      </c>
      <c r="C21" s="49"/>
      <c r="D21" s="49"/>
      <c r="E21" s="49"/>
      <c r="F21" s="49"/>
      <c r="G21" s="50"/>
      <c r="H21" s="49"/>
      <c r="I21" s="50"/>
    </row>
    <row r="22" spans="1:9" ht="15.75" x14ac:dyDescent="0.2">
      <c r="A22" s="53" t="s">
        <v>146</v>
      </c>
      <c r="B22" s="48" t="s">
        <v>14</v>
      </c>
      <c r="C22" s="49"/>
      <c r="D22" s="49"/>
      <c r="E22" s="49"/>
      <c r="F22" s="49"/>
      <c r="G22" s="50"/>
      <c r="H22" s="49"/>
      <c r="I22" s="50"/>
    </row>
    <row r="23" spans="1:9" ht="15.75" x14ac:dyDescent="0.2">
      <c r="A23" s="53" t="s">
        <v>147</v>
      </c>
      <c r="B23" s="48" t="s">
        <v>14</v>
      </c>
      <c r="C23" s="49"/>
      <c r="D23" s="49"/>
      <c r="E23" s="49"/>
      <c r="F23" s="49"/>
      <c r="G23" s="50"/>
      <c r="H23" s="49"/>
      <c r="I23" s="50"/>
    </row>
    <row r="24" spans="1:9" ht="15.75" x14ac:dyDescent="0.2">
      <c r="A24" s="53" t="s">
        <v>148</v>
      </c>
      <c r="B24" s="48" t="s">
        <v>14</v>
      </c>
      <c r="C24" s="49"/>
      <c r="D24" s="49"/>
      <c r="E24" s="49"/>
      <c r="F24" s="49"/>
      <c r="G24" s="50"/>
      <c r="H24" s="49"/>
      <c r="I24" s="50"/>
    </row>
    <row r="25" spans="1:9" ht="34.5" customHeight="1" x14ac:dyDescent="0.2">
      <c r="A25" s="47" t="s">
        <v>149</v>
      </c>
      <c r="B25" s="48"/>
      <c r="C25" s="49"/>
      <c r="D25" s="49"/>
      <c r="E25" s="49"/>
      <c r="F25" s="49"/>
      <c r="G25" s="50"/>
      <c r="H25" s="49"/>
      <c r="I25" s="50"/>
    </row>
    <row r="26" spans="1:9" ht="31.5" x14ac:dyDescent="0.2">
      <c r="A26" s="54" t="s">
        <v>150</v>
      </c>
      <c r="B26" s="48" t="s">
        <v>137</v>
      </c>
      <c r="C26" s="49"/>
      <c r="D26" s="49"/>
      <c r="E26" s="49"/>
      <c r="F26" s="49"/>
      <c r="G26" s="50"/>
      <c r="H26" s="49"/>
      <c r="I26" s="50"/>
    </row>
    <row r="27" spans="1:9" ht="31.5" x14ac:dyDescent="0.2">
      <c r="A27" s="54" t="s">
        <v>151</v>
      </c>
      <c r="B27" s="48" t="s">
        <v>137</v>
      </c>
      <c r="C27" s="49"/>
      <c r="D27" s="49"/>
      <c r="E27" s="49"/>
      <c r="F27" s="49"/>
      <c r="G27" s="50"/>
      <c r="H27" s="49"/>
      <c r="I27" s="50"/>
    </row>
    <row r="28" spans="1:9" ht="31.5" x14ac:dyDescent="0.2">
      <c r="A28" s="53" t="s">
        <v>152</v>
      </c>
      <c r="B28" s="48" t="s">
        <v>137</v>
      </c>
      <c r="C28" s="49"/>
      <c r="D28" s="49"/>
      <c r="E28" s="49"/>
      <c r="F28" s="49"/>
      <c r="G28" s="50"/>
      <c r="H28" s="49"/>
      <c r="I28" s="50"/>
    </row>
    <row r="29" spans="1:9" ht="31.5" x14ac:dyDescent="0.2">
      <c r="A29" s="54" t="s">
        <v>150</v>
      </c>
      <c r="B29" s="48" t="s">
        <v>137</v>
      </c>
      <c r="C29" s="49"/>
      <c r="D29" s="49"/>
      <c r="E29" s="49"/>
      <c r="F29" s="49"/>
      <c r="G29" s="50"/>
      <c r="H29" s="49"/>
      <c r="I29" s="50"/>
    </row>
    <row r="30" spans="1:9" ht="31.5" x14ac:dyDescent="0.2">
      <c r="A30" s="54" t="s">
        <v>151</v>
      </c>
      <c r="B30" s="48" t="s">
        <v>137</v>
      </c>
      <c r="C30" s="49"/>
      <c r="D30" s="49"/>
      <c r="E30" s="49"/>
      <c r="F30" s="49"/>
      <c r="G30" s="50"/>
      <c r="H30" s="49"/>
      <c r="I30" s="50"/>
    </row>
    <row r="31" spans="1:9" ht="33" customHeight="1" x14ac:dyDescent="0.2">
      <c r="A31" s="47" t="s">
        <v>153</v>
      </c>
      <c r="B31" s="48" t="s">
        <v>137</v>
      </c>
      <c r="C31" s="49"/>
      <c r="D31" s="49"/>
      <c r="E31" s="49"/>
      <c r="F31" s="49"/>
      <c r="G31" s="50"/>
      <c r="H31" s="49"/>
      <c r="I31" s="50"/>
    </row>
    <row r="32" spans="1:9" ht="15.75" x14ac:dyDescent="0.2">
      <c r="A32" s="53" t="s">
        <v>154</v>
      </c>
      <c r="B32" s="48"/>
      <c r="C32" s="49"/>
      <c r="D32" s="49"/>
      <c r="E32" s="49"/>
      <c r="F32" s="49"/>
      <c r="G32" s="50"/>
      <c r="H32" s="49"/>
      <c r="I32" s="50"/>
    </row>
    <row r="33" spans="1:10" ht="31.5" x14ac:dyDescent="0.2">
      <c r="A33" s="54" t="s">
        <v>0</v>
      </c>
      <c r="B33" s="48" t="s">
        <v>137</v>
      </c>
      <c r="C33" s="49"/>
      <c r="D33" s="49"/>
      <c r="E33" s="49"/>
      <c r="F33" s="49"/>
      <c r="G33" s="50"/>
      <c r="H33" s="49"/>
      <c r="I33" s="50"/>
    </row>
    <row r="34" spans="1:10" ht="31.5" x14ac:dyDescent="0.2">
      <c r="A34" s="54" t="s">
        <v>1</v>
      </c>
      <c r="B34" s="48" t="s">
        <v>137</v>
      </c>
      <c r="C34" s="49"/>
      <c r="D34" s="49"/>
      <c r="E34" s="49"/>
      <c r="F34" s="49"/>
      <c r="G34" s="50"/>
      <c r="H34" s="49"/>
      <c r="I34" s="50"/>
    </row>
    <row r="35" spans="1:10" ht="31.5" x14ac:dyDescent="0.2">
      <c r="A35" s="54" t="s">
        <v>155</v>
      </c>
      <c r="B35" s="48" t="s">
        <v>137</v>
      </c>
      <c r="C35" s="49"/>
      <c r="D35" s="49"/>
      <c r="E35" s="49"/>
      <c r="F35" s="49"/>
      <c r="G35" s="50"/>
      <c r="H35" s="49"/>
      <c r="I35" s="50"/>
    </row>
    <row r="36" spans="1:10" ht="32.25" customHeight="1" x14ac:dyDescent="0.25">
      <c r="A36" s="47" t="s">
        <v>156</v>
      </c>
      <c r="B36" s="48" t="s">
        <v>157</v>
      </c>
      <c r="C36" s="51"/>
      <c r="D36" s="51"/>
      <c r="E36" s="51"/>
      <c r="F36" s="51"/>
      <c r="G36" s="52"/>
      <c r="H36" s="51"/>
      <c r="I36" s="52"/>
    </row>
    <row r="37" spans="1:10" ht="32.25" customHeight="1" x14ac:dyDescent="0.25">
      <c r="A37" s="47" t="s">
        <v>164</v>
      </c>
      <c r="B37" s="48" t="s">
        <v>30</v>
      </c>
      <c r="C37" s="51"/>
      <c r="D37" s="51"/>
      <c r="E37" s="51"/>
      <c r="F37" s="51"/>
      <c r="G37" s="52"/>
      <c r="H37" s="51"/>
      <c r="I37" s="52"/>
    </row>
    <row r="38" spans="1:10" ht="34.5" customHeight="1" x14ac:dyDescent="0.25">
      <c r="A38" s="47" t="s">
        <v>35</v>
      </c>
      <c r="B38" s="48" t="s">
        <v>137</v>
      </c>
      <c r="C38" s="51"/>
      <c r="D38" s="51"/>
      <c r="E38" s="51"/>
      <c r="F38" s="51"/>
      <c r="G38" s="52"/>
      <c r="H38" s="51"/>
      <c r="I38" s="52"/>
    </row>
    <row r="39" spans="1:10" ht="34.5" customHeight="1" thickBot="1" x14ac:dyDescent="0.3">
      <c r="A39" s="55" t="s">
        <v>158</v>
      </c>
      <c r="B39" s="56" t="s">
        <v>137</v>
      </c>
      <c r="C39" s="57"/>
      <c r="D39" s="57"/>
      <c r="E39" s="57"/>
      <c r="F39" s="57"/>
      <c r="G39" s="58"/>
      <c r="H39" s="57"/>
      <c r="I39" s="58"/>
    </row>
    <row r="40" spans="1:10" ht="13.5" customHeight="1" x14ac:dyDescent="0.25">
      <c r="A40" s="59"/>
      <c r="B40" s="39"/>
      <c r="C40" s="60"/>
      <c r="D40" s="60"/>
      <c r="E40" s="60"/>
      <c r="F40" s="60"/>
      <c r="G40" s="60"/>
      <c r="H40" s="60"/>
      <c r="I40" s="60"/>
      <c r="J40" s="60"/>
    </row>
    <row r="41" spans="1:10" ht="19.5" customHeight="1" thickBot="1" x14ac:dyDescent="0.3">
      <c r="A41" s="61"/>
      <c r="B41" s="62"/>
      <c r="C41" s="37"/>
      <c r="D41" s="37"/>
      <c r="E41" s="37"/>
      <c r="F41" s="37"/>
      <c r="G41" s="37"/>
      <c r="H41" s="37"/>
      <c r="I41" s="37"/>
      <c r="J41" s="37"/>
    </row>
    <row r="42" spans="1:10" ht="15.75" customHeight="1" x14ac:dyDescent="0.2">
      <c r="A42" s="346" t="s">
        <v>159</v>
      </c>
      <c r="B42" s="331" t="s">
        <v>134</v>
      </c>
      <c r="C42" s="339" t="s">
        <v>232</v>
      </c>
      <c r="D42" s="339" t="s">
        <v>243</v>
      </c>
      <c r="E42" s="339" t="s">
        <v>240</v>
      </c>
      <c r="F42" s="334" t="s">
        <v>135</v>
      </c>
      <c r="G42" s="335"/>
      <c r="H42" s="335"/>
      <c r="I42" s="345"/>
    </row>
    <row r="43" spans="1:10" ht="15.75" customHeight="1" x14ac:dyDescent="0.2">
      <c r="A43" s="347"/>
      <c r="B43" s="332"/>
      <c r="C43" s="332"/>
      <c r="D43" s="332"/>
      <c r="E43" s="332"/>
      <c r="F43" s="343">
        <v>2016</v>
      </c>
      <c r="G43" s="344"/>
      <c r="H43" s="337" t="s">
        <v>230</v>
      </c>
      <c r="I43" s="349" t="s">
        <v>237</v>
      </c>
    </row>
    <row r="44" spans="1:10" ht="18.75" customHeight="1" thickBot="1" x14ac:dyDescent="0.25">
      <c r="A44" s="348"/>
      <c r="B44" s="333"/>
      <c r="C44" s="340"/>
      <c r="D44" s="340"/>
      <c r="E44" s="340"/>
      <c r="F44" s="40" t="s">
        <v>92</v>
      </c>
      <c r="G44" s="41" t="s">
        <v>8</v>
      </c>
      <c r="H44" s="338"/>
      <c r="I44" s="350"/>
    </row>
    <row r="45" spans="1:10" ht="31.5" x14ac:dyDescent="0.25">
      <c r="A45" s="76"/>
      <c r="B45" s="43" t="s">
        <v>160</v>
      </c>
      <c r="C45" s="63"/>
      <c r="D45" s="63"/>
      <c r="E45" s="63"/>
      <c r="F45" s="63"/>
      <c r="G45" s="64"/>
      <c r="H45" s="63"/>
      <c r="I45" s="77"/>
    </row>
    <row r="46" spans="1:10" ht="22.5" customHeight="1" thickBot="1" x14ac:dyDescent="0.3">
      <c r="A46" s="78"/>
      <c r="B46" s="79"/>
      <c r="C46" s="57"/>
      <c r="D46" s="57"/>
      <c r="E46" s="57"/>
      <c r="F46" s="57"/>
      <c r="G46" s="58"/>
      <c r="H46" s="57"/>
      <c r="I46" s="80"/>
    </row>
    <row r="47" spans="1:10" s="75" customFormat="1" ht="22.5" customHeight="1" x14ac:dyDescent="0.25">
      <c r="A47" s="72"/>
      <c r="B47" s="72"/>
      <c r="C47" s="60"/>
      <c r="D47" s="60"/>
      <c r="E47" s="60"/>
      <c r="F47" s="60"/>
      <c r="G47" s="60"/>
      <c r="H47" s="60"/>
      <c r="I47" s="60"/>
      <c r="J47" s="60"/>
    </row>
    <row r="48" spans="1:10" s="75" customFormat="1" ht="22.5" customHeight="1" thickBot="1" x14ac:dyDescent="0.25">
      <c r="A48" s="353" t="s">
        <v>241</v>
      </c>
      <c r="B48" s="353"/>
      <c r="C48" s="353"/>
      <c r="D48" s="353"/>
      <c r="E48" s="353"/>
      <c r="F48" s="353"/>
      <c r="G48" s="353"/>
      <c r="H48" s="353"/>
      <c r="I48" s="353"/>
      <c r="J48" s="353"/>
    </row>
    <row r="49" spans="1:10" s="75" customFormat="1" ht="63.75" customHeight="1" x14ac:dyDescent="0.2">
      <c r="A49" s="356" t="s">
        <v>217</v>
      </c>
      <c r="B49" s="362" t="s">
        <v>183</v>
      </c>
      <c r="C49" s="363"/>
      <c r="D49" s="358" t="s">
        <v>184</v>
      </c>
      <c r="E49" s="358" t="s">
        <v>185</v>
      </c>
      <c r="F49" s="359" t="s">
        <v>188</v>
      </c>
      <c r="G49" s="335"/>
      <c r="H49" s="336"/>
      <c r="I49" s="358" t="s">
        <v>189</v>
      </c>
      <c r="J49" s="360" t="s">
        <v>166</v>
      </c>
    </row>
    <row r="50" spans="1:10" s="75" customFormat="1" ht="36.75" customHeight="1" thickBot="1" x14ac:dyDescent="0.25">
      <c r="A50" s="357"/>
      <c r="B50" s="364"/>
      <c r="C50" s="342"/>
      <c r="D50" s="338"/>
      <c r="E50" s="338"/>
      <c r="F50" s="88" t="s">
        <v>186</v>
      </c>
      <c r="G50" s="88" t="s">
        <v>187</v>
      </c>
      <c r="H50" s="88" t="s">
        <v>168</v>
      </c>
      <c r="I50" s="338"/>
      <c r="J50" s="361"/>
    </row>
    <row r="51" spans="1:10" s="75" customFormat="1" ht="36.75" customHeight="1" x14ac:dyDescent="0.25">
      <c r="A51" s="365" t="s">
        <v>172</v>
      </c>
      <c r="B51" s="368" t="s">
        <v>242</v>
      </c>
      <c r="C51" s="369"/>
      <c r="D51" s="94"/>
      <c r="E51" s="94"/>
      <c r="F51" s="94"/>
      <c r="G51" s="94"/>
      <c r="H51" s="94"/>
      <c r="I51" s="94"/>
      <c r="J51" s="95"/>
    </row>
    <row r="52" spans="1:10" s="75" customFormat="1" ht="22.5" customHeight="1" x14ac:dyDescent="0.25">
      <c r="A52" s="366"/>
      <c r="B52" s="370">
        <v>2015</v>
      </c>
      <c r="C52" s="370">
        <v>2013</v>
      </c>
      <c r="D52" s="86"/>
      <c r="E52" s="86"/>
      <c r="F52" s="86"/>
      <c r="G52" s="86"/>
      <c r="H52" s="86"/>
      <c r="I52" s="86"/>
      <c r="J52" s="87"/>
    </row>
    <row r="53" spans="1:10" s="75" customFormat="1" ht="22.5" customHeight="1" x14ac:dyDescent="0.25">
      <c r="A53" s="366"/>
      <c r="B53" s="370">
        <v>2016</v>
      </c>
      <c r="C53" s="370">
        <v>2014</v>
      </c>
      <c r="D53" s="81"/>
      <c r="E53" s="81"/>
      <c r="F53" s="81"/>
      <c r="G53" s="81"/>
      <c r="H53" s="81"/>
      <c r="I53" s="81"/>
      <c r="J53" s="82"/>
    </row>
    <row r="54" spans="1:10" s="75" customFormat="1" ht="22.5" customHeight="1" x14ac:dyDescent="0.25">
      <c r="A54" s="366"/>
      <c r="B54" s="370">
        <v>2017</v>
      </c>
      <c r="C54" s="370">
        <v>2015</v>
      </c>
      <c r="D54" s="81"/>
      <c r="E54" s="81"/>
      <c r="F54" s="81"/>
      <c r="G54" s="81"/>
      <c r="H54" s="81"/>
      <c r="I54" s="81"/>
      <c r="J54" s="82"/>
    </row>
    <row r="55" spans="1:10" s="75" customFormat="1" ht="22.5" customHeight="1" thickBot="1" x14ac:dyDescent="0.3">
      <c r="A55" s="367"/>
      <c r="B55" s="370">
        <v>2018</v>
      </c>
      <c r="C55" s="370">
        <v>2016</v>
      </c>
      <c r="D55" s="81"/>
      <c r="E55" s="81"/>
      <c r="F55" s="81"/>
      <c r="G55" s="81"/>
      <c r="H55" s="81"/>
      <c r="I55" s="81"/>
      <c r="J55" s="82"/>
    </row>
    <row r="56" spans="1:10" s="75" customFormat="1" ht="33" customHeight="1" x14ac:dyDescent="0.25">
      <c r="A56" s="373" t="s">
        <v>190</v>
      </c>
      <c r="B56" s="368" t="s">
        <v>242</v>
      </c>
      <c r="C56" s="369"/>
      <c r="D56" s="81"/>
      <c r="E56" s="81"/>
      <c r="F56" s="81"/>
      <c r="G56" s="81"/>
      <c r="H56" s="81"/>
      <c r="I56" s="81"/>
      <c r="J56" s="82"/>
    </row>
    <row r="57" spans="1:10" s="75" customFormat="1" ht="22.5" customHeight="1" x14ac:dyDescent="0.25">
      <c r="A57" s="366"/>
      <c r="B57" s="370">
        <v>2015</v>
      </c>
      <c r="C57" s="370">
        <v>2013</v>
      </c>
      <c r="D57" s="81"/>
      <c r="E57" s="81"/>
      <c r="F57" s="81"/>
      <c r="G57" s="81"/>
      <c r="H57" s="81"/>
      <c r="I57" s="81"/>
      <c r="J57" s="82"/>
    </row>
    <row r="58" spans="1:10" s="75" customFormat="1" ht="22.5" customHeight="1" x14ac:dyDescent="0.25">
      <c r="A58" s="366"/>
      <c r="B58" s="370">
        <v>2016</v>
      </c>
      <c r="C58" s="370">
        <v>2014</v>
      </c>
      <c r="D58" s="81"/>
      <c r="E58" s="81"/>
      <c r="F58" s="81"/>
      <c r="G58" s="81"/>
      <c r="H58" s="81"/>
      <c r="I58" s="81"/>
      <c r="J58" s="82"/>
    </row>
    <row r="59" spans="1:10" s="75" customFormat="1" ht="22.5" customHeight="1" x14ac:dyDescent="0.25">
      <c r="A59" s="366"/>
      <c r="B59" s="370">
        <v>2017</v>
      </c>
      <c r="C59" s="370">
        <v>2015</v>
      </c>
      <c r="D59" s="81"/>
      <c r="E59" s="81"/>
      <c r="F59" s="81"/>
      <c r="G59" s="81"/>
      <c r="H59" s="81"/>
      <c r="I59" s="81"/>
      <c r="J59" s="82"/>
    </row>
    <row r="60" spans="1:10" s="75" customFormat="1" ht="22.5" customHeight="1" x14ac:dyDescent="0.25">
      <c r="A60" s="367"/>
      <c r="B60" s="370">
        <v>2018</v>
      </c>
      <c r="C60" s="370">
        <v>2016</v>
      </c>
      <c r="D60" s="81"/>
      <c r="E60" s="81"/>
      <c r="F60" s="81"/>
      <c r="G60" s="81"/>
      <c r="H60" s="81"/>
      <c r="I60" s="81"/>
      <c r="J60" s="82"/>
    </row>
    <row r="61" spans="1:10" s="75" customFormat="1" ht="22.5" customHeight="1" thickBot="1" x14ac:dyDescent="0.3">
      <c r="A61" s="83" t="s">
        <v>191</v>
      </c>
      <c r="B61" s="371"/>
      <c r="C61" s="372"/>
      <c r="D61" s="84"/>
      <c r="E61" s="84"/>
      <c r="F61" s="84"/>
      <c r="G61" s="84"/>
      <c r="H61" s="84"/>
      <c r="I61" s="84"/>
      <c r="J61" s="85"/>
    </row>
    <row r="62" spans="1:10" s="75" customFormat="1" ht="22.5" customHeight="1" x14ac:dyDescent="0.25">
      <c r="A62" s="72"/>
      <c r="B62" s="72"/>
      <c r="C62" s="60"/>
      <c r="D62" s="60"/>
      <c r="E62" s="60"/>
      <c r="F62" s="60"/>
      <c r="G62" s="60"/>
      <c r="H62" s="60"/>
      <c r="I62" s="60"/>
      <c r="J62" s="60"/>
    </row>
    <row r="63" spans="1:10" s="75" customFormat="1" ht="22.5" customHeight="1" x14ac:dyDescent="0.25">
      <c r="A63" s="72"/>
      <c r="B63" s="72"/>
      <c r="C63" s="60"/>
      <c r="D63" s="60"/>
      <c r="E63" s="60"/>
      <c r="F63" s="60"/>
      <c r="G63" s="60"/>
      <c r="H63" s="60"/>
      <c r="I63" s="60"/>
      <c r="J63" s="60"/>
    </row>
    <row r="64" spans="1:10" s="75" customFormat="1" ht="22.5" customHeight="1" x14ac:dyDescent="0.25">
      <c r="A64" s="72"/>
      <c r="B64" s="72"/>
      <c r="C64" s="60"/>
      <c r="D64" s="60"/>
      <c r="E64" s="60"/>
      <c r="F64" s="60"/>
      <c r="G64" s="60"/>
      <c r="H64" s="60"/>
      <c r="I64" s="60"/>
      <c r="J64" s="60"/>
    </row>
    <row r="65" spans="1:10" s="75" customFormat="1" ht="22.5" customHeight="1" x14ac:dyDescent="0.25">
      <c r="A65" s="72"/>
      <c r="B65" s="72"/>
      <c r="C65" s="60"/>
      <c r="D65" s="60"/>
      <c r="E65" s="60"/>
      <c r="F65" s="60"/>
      <c r="G65" s="60"/>
      <c r="H65" s="60"/>
      <c r="I65" s="60"/>
      <c r="J65" s="60"/>
    </row>
    <row r="66" spans="1:10" ht="27" customHeight="1" x14ac:dyDescent="0.25">
      <c r="A66" s="62" t="s">
        <v>161</v>
      </c>
      <c r="B66" s="73"/>
      <c r="C66" s="74"/>
      <c r="D66" s="74"/>
      <c r="E66" s="74"/>
      <c r="F66" s="74"/>
      <c r="G66" s="74"/>
      <c r="H66" s="74"/>
    </row>
    <row r="67" spans="1:10" ht="7.5" customHeight="1" x14ac:dyDescent="0.2">
      <c r="A67" s="65"/>
      <c r="B67" s="65"/>
    </row>
    <row r="68" spans="1:10" x14ac:dyDescent="0.2">
      <c r="A68" s="65"/>
      <c r="B68" s="65"/>
    </row>
    <row r="69" spans="1:10" x14ac:dyDescent="0.2">
      <c r="A69" s="65"/>
      <c r="B69" s="65"/>
    </row>
    <row r="70" spans="1:10" x14ac:dyDescent="0.2">
      <c r="A70" s="65"/>
      <c r="B70" s="65"/>
    </row>
    <row r="71" spans="1:10" x14ac:dyDescent="0.2">
      <c r="A71" s="65"/>
      <c r="B71" s="65"/>
    </row>
    <row r="72" spans="1:10" x14ac:dyDescent="0.2">
      <c r="A72" s="65"/>
      <c r="B72" s="65"/>
    </row>
    <row r="73" spans="1:10" x14ac:dyDescent="0.2">
      <c r="A73" s="65"/>
      <c r="B73" s="65"/>
    </row>
    <row r="74" spans="1:10" x14ac:dyDescent="0.2">
      <c r="A74" s="65"/>
      <c r="B74" s="65"/>
    </row>
    <row r="75" spans="1:10" x14ac:dyDescent="0.2">
      <c r="A75" s="65"/>
      <c r="B75" s="65"/>
    </row>
    <row r="76" spans="1:10" x14ac:dyDescent="0.2">
      <c r="A76" s="65"/>
      <c r="B76" s="65"/>
    </row>
    <row r="77" spans="1:10" x14ac:dyDescent="0.2">
      <c r="A77" s="65"/>
      <c r="B77" s="65"/>
    </row>
    <row r="78" spans="1:10" x14ac:dyDescent="0.2">
      <c r="A78" s="65"/>
      <c r="B78" s="65"/>
    </row>
    <row r="79" spans="1:10" x14ac:dyDescent="0.2">
      <c r="A79" s="65"/>
      <c r="B79" s="65"/>
    </row>
    <row r="80" spans="1:10" x14ac:dyDescent="0.2">
      <c r="A80" s="65"/>
      <c r="B80" s="65"/>
    </row>
    <row r="81" spans="1:2" x14ac:dyDescent="0.2">
      <c r="A81" s="65"/>
      <c r="B81" s="65"/>
    </row>
    <row r="82" spans="1:2" x14ac:dyDescent="0.2">
      <c r="A82" s="65"/>
      <c r="B82" s="65"/>
    </row>
    <row r="83" spans="1:2" x14ac:dyDescent="0.2">
      <c r="A83" s="65"/>
      <c r="B83" s="65"/>
    </row>
    <row r="84" spans="1:2" x14ac:dyDescent="0.2">
      <c r="A84" s="65"/>
      <c r="B84" s="65"/>
    </row>
    <row r="85" spans="1:2" x14ac:dyDescent="0.2">
      <c r="A85" s="65"/>
      <c r="B85" s="65"/>
    </row>
    <row r="86" spans="1:2" x14ac:dyDescent="0.2">
      <c r="A86" s="65"/>
      <c r="B86" s="65"/>
    </row>
    <row r="87" spans="1:2" x14ac:dyDescent="0.2">
      <c r="A87" s="65"/>
      <c r="B87" s="65"/>
    </row>
    <row r="88" spans="1:2" x14ac:dyDescent="0.2">
      <c r="A88" s="65"/>
      <c r="B88" s="65"/>
    </row>
    <row r="89" spans="1:2" x14ac:dyDescent="0.2">
      <c r="A89" s="65"/>
      <c r="B89" s="65"/>
    </row>
    <row r="90" spans="1:2" x14ac:dyDescent="0.2">
      <c r="A90" s="65"/>
      <c r="B90" s="65"/>
    </row>
    <row r="91" spans="1:2" x14ac:dyDescent="0.2">
      <c r="A91" s="65"/>
      <c r="B91" s="65"/>
    </row>
    <row r="92" spans="1:2" x14ac:dyDescent="0.2">
      <c r="A92" s="65"/>
      <c r="B92" s="65"/>
    </row>
    <row r="93" spans="1:2" x14ac:dyDescent="0.2">
      <c r="A93" s="65"/>
      <c r="B93" s="65"/>
    </row>
    <row r="94" spans="1:2" x14ac:dyDescent="0.2">
      <c r="A94" s="65"/>
      <c r="B94" s="65"/>
    </row>
    <row r="95" spans="1:2" x14ac:dyDescent="0.2">
      <c r="A95" s="65"/>
      <c r="B95" s="65"/>
    </row>
    <row r="96" spans="1:2" x14ac:dyDescent="0.2">
      <c r="A96" s="65"/>
      <c r="B96" s="65"/>
    </row>
    <row r="97" spans="1:2" x14ac:dyDescent="0.2">
      <c r="A97" s="65"/>
      <c r="B97" s="65"/>
    </row>
    <row r="98" spans="1:2" x14ac:dyDescent="0.2">
      <c r="A98" s="65"/>
      <c r="B98" s="65"/>
    </row>
    <row r="99" spans="1:2" x14ac:dyDescent="0.2">
      <c r="A99" s="65"/>
      <c r="B99" s="65"/>
    </row>
    <row r="100" spans="1:2" x14ac:dyDescent="0.2">
      <c r="A100" s="65"/>
      <c r="B100" s="65"/>
    </row>
    <row r="101" spans="1:2" x14ac:dyDescent="0.2">
      <c r="A101" s="65"/>
      <c r="B101" s="65"/>
    </row>
    <row r="102" spans="1:2" x14ac:dyDescent="0.2">
      <c r="A102" s="65"/>
      <c r="B102" s="65"/>
    </row>
    <row r="103" spans="1:2" x14ac:dyDescent="0.2">
      <c r="A103" s="65"/>
      <c r="B103" s="65"/>
    </row>
    <row r="104" spans="1:2" x14ac:dyDescent="0.2">
      <c r="A104" s="65"/>
      <c r="B104" s="65"/>
    </row>
    <row r="105" spans="1:2" x14ac:dyDescent="0.2">
      <c r="A105" s="65"/>
      <c r="B105" s="65"/>
    </row>
    <row r="106" spans="1:2" x14ac:dyDescent="0.2">
      <c r="A106" s="65"/>
      <c r="B106" s="65"/>
    </row>
    <row r="107" spans="1:2" x14ac:dyDescent="0.2">
      <c r="A107" s="65"/>
      <c r="B107" s="65"/>
    </row>
    <row r="108" spans="1:2" x14ac:dyDescent="0.2">
      <c r="A108" s="65"/>
      <c r="B108" s="65"/>
    </row>
    <row r="109" spans="1:2" x14ac:dyDescent="0.2">
      <c r="A109" s="65"/>
      <c r="B109" s="65"/>
    </row>
    <row r="110" spans="1:2" x14ac:dyDescent="0.2">
      <c r="A110" s="65"/>
      <c r="B110" s="65"/>
    </row>
    <row r="111" spans="1:2" x14ac:dyDescent="0.2">
      <c r="A111" s="65"/>
      <c r="B111" s="65"/>
    </row>
    <row r="112" spans="1:2" x14ac:dyDescent="0.2">
      <c r="A112" s="65"/>
      <c r="B112" s="65"/>
    </row>
    <row r="113" spans="1:2" x14ac:dyDescent="0.2">
      <c r="A113" s="65"/>
      <c r="B113" s="65"/>
    </row>
    <row r="114" spans="1:2" x14ac:dyDescent="0.2">
      <c r="A114" s="65"/>
      <c r="B114" s="65"/>
    </row>
    <row r="115" spans="1:2" x14ac:dyDescent="0.2">
      <c r="A115" s="65"/>
      <c r="B115" s="65"/>
    </row>
    <row r="116" spans="1:2" x14ac:dyDescent="0.2">
      <c r="A116" s="65"/>
      <c r="B116" s="65"/>
    </row>
    <row r="117" spans="1:2" x14ac:dyDescent="0.2">
      <c r="A117" s="65"/>
      <c r="B117" s="65"/>
    </row>
    <row r="118" spans="1:2" x14ac:dyDescent="0.2">
      <c r="A118" s="65"/>
      <c r="B118" s="65"/>
    </row>
    <row r="119" spans="1:2" x14ac:dyDescent="0.2">
      <c r="A119" s="65"/>
      <c r="B119" s="65"/>
    </row>
    <row r="120" spans="1:2" x14ac:dyDescent="0.2">
      <c r="A120" s="65"/>
      <c r="B120" s="65"/>
    </row>
    <row r="121" spans="1:2" x14ac:dyDescent="0.2">
      <c r="A121" s="65"/>
      <c r="B121" s="65"/>
    </row>
    <row r="122" spans="1:2" x14ac:dyDescent="0.2">
      <c r="A122" s="65"/>
      <c r="B122" s="65"/>
    </row>
    <row r="123" spans="1:2" x14ac:dyDescent="0.2">
      <c r="A123" s="65"/>
      <c r="B123" s="65"/>
    </row>
    <row r="124" spans="1:2" x14ac:dyDescent="0.2">
      <c r="A124" s="65"/>
      <c r="B124" s="65"/>
    </row>
    <row r="125" spans="1:2" x14ac:dyDescent="0.2">
      <c r="A125" s="65"/>
      <c r="B125" s="65"/>
    </row>
    <row r="126" spans="1:2" x14ac:dyDescent="0.2">
      <c r="A126" s="65"/>
      <c r="B126" s="65"/>
    </row>
    <row r="127" spans="1:2" x14ac:dyDescent="0.2">
      <c r="A127" s="65"/>
      <c r="B127" s="65"/>
    </row>
    <row r="128" spans="1:2" x14ac:dyDescent="0.2">
      <c r="A128" s="65"/>
      <c r="B128" s="65"/>
    </row>
    <row r="129" spans="1:2" x14ac:dyDescent="0.2">
      <c r="A129" s="65"/>
      <c r="B129" s="65"/>
    </row>
    <row r="130" spans="1:2" x14ac:dyDescent="0.2">
      <c r="A130" s="65"/>
      <c r="B130" s="65"/>
    </row>
    <row r="131" spans="1:2" x14ac:dyDescent="0.2">
      <c r="A131" s="65"/>
      <c r="B131" s="65"/>
    </row>
    <row r="132" spans="1:2" x14ac:dyDescent="0.2">
      <c r="A132" s="65"/>
      <c r="B132" s="65"/>
    </row>
    <row r="133" spans="1:2" x14ac:dyDescent="0.2">
      <c r="A133" s="65"/>
      <c r="B133" s="65"/>
    </row>
    <row r="134" spans="1:2" x14ac:dyDescent="0.2">
      <c r="A134" s="65"/>
      <c r="B134" s="65"/>
    </row>
    <row r="135" spans="1:2" x14ac:dyDescent="0.2">
      <c r="A135" s="65"/>
      <c r="B135" s="65"/>
    </row>
    <row r="136" spans="1:2" x14ac:dyDescent="0.2">
      <c r="A136" s="65"/>
      <c r="B136" s="65"/>
    </row>
    <row r="137" spans="1:2" x14ac:dyDescent="0.2">
      <c r="A137" s="65"/>
      <c r="B137" s="65"/>
    </row>
    <row r="138" spans="1:2" x14ac:dyDescent="0.2">
      <c r="A138" s="65"/>
      <c r="B138" s="65"/>
    </row>
    <row r="139" spans="1:2" x14ac:dyDescent="0.2">
      <c r="A139" s="65"/>
      <c r="B139" s="65"/>
    </row>
    <row r="140" spans="1:2" x14ac:dyDescent="0.2">
      <c r="A140" s="65"/>
      <c r="B140" s="65"/>
    </row>
    <row r="141" spans="1:2" x14ac:dyDescent="0.2">
      <c r="A141" s="65"/>
      <c r="B141" s="65"/>
    </row>
    <row r="142" spans="1:2" x14ac:dyDescent="0.2">
      <c r="A142" s="65"/>
      <c r="B142" s="65"/>
    </row>
    <row r="143" spans="1:2" x14ac:dyDescent="0.2">
      <c r="A143" s="65"/>
      <c r="B143" s="65"/>
    </row>
    <row r="144" spans="1:2" x14ac:dyDescent="0.2">
      <c r="A144" s="65"/>
      <c r="B144" s="65"/>
    </row>
    <row r="145" spans="1:2" x14ac:dyDescent="0.2">
      <c r="A145" s="65"/>
      <c r="B145" s="65"/>
    </row>
    <row r="146" spans="1:2" x14ac:dyDescent="0.2">
      <c r="A146" s="65"/>
      <c r="B146" s="65"/>
    </row>
    <row r="147" spans="1:2" x14ac:dyDescent="0.2">
      <c r="A147" s="65"/>
      <c r="B147" s="65"/>
    </row>
    <row r="148" spans="1:2" x14ac:dyDescent="0.2">
      <c r="A148" s="65"/>
      <c r="B148" s="65"/>
    </row>
    <row r="149" spans="1:2" x14ac:dyDescent="0.2">
      <c r="A149" s="65"/>
      <c r="B149" s="65"/>
    </row>
    <row r="150" spans="1:2" x14ac:dyDescent="0.2">
      <c r="A150" s="65"/>
      <c r="B150" s="65"/>
    </row>
    <row r="151" spans="1:2" x14ac:dyDescent="0.2">
      <c r="A151" s="65"/>
      <c r="B151" s="65"/>
    </row>
    <row r="152" spans="1:2" x14ac:dyDescent="0.2">
      <c r="A152" s="65"/>
      <c r="B152" s="65"/>
    </row>
    <row r="153" spans="1:2" x14ac:dyDescent="0.2">
      <c r="A153" s="65"/>
      <c r="B153" s="65"/>
    </row>
    <row r="154" spans="1:2" x14ac:dyDescent="0.2">
      <c r="A154" s="65"/>
      <c r="B154" s="65"/>
    </row>
    <row r="155" spans="1:2" x14ac:dyDescent="0.2">
      <c r="A155" s="65"/>
      <c r="B155" s="65"/>
    </row>
    <row r="156" spans="1:2" x14ac:dyDescent="0.2">
      <c r="A156" s="65"/>
      <c r="B156" s="65"/>
    </row>
    <row r="157" spans="1:2" x14ac:dyDescent="0.2">
      <c r="A157" s="65"/>
      <c r="B157" s="65"/>
    </row>
    <row r="158" spans="1:2" x14ac:dyDescent="0.2">
      <c r="A158" s="65"/>
      <c r="B158" s="65"/>
    </row>
    <row r="159" spans="1:2" x14ac:dyDescent="0.2">
      <c r="A159" s="65"/>
      <c r="B159" s="65"/>
    </row>
    <row r="160" spans="1:2" x14ac:dyDescent="0.2">
      <c r="A160" s="65"/>
      <c r="B160" s="65"/>
    </row>
    <row r="161" spans="1:2" x14ac:dyDescent="0.2">
      <c r="A161" s="65"/>
      <c r="B161" s="65"/>
    </row>
    <row r="162" spans="1:2" x14ac:dyDescent="0.2">
      <c r="A162" s="65"/>
      <c r="B162" s="65"/>
    </row>
    <row r="163" spans="1:2" x14ac:dyDescent="0.2">
      <c r="A163" s="65"/>
      <c r="B163" s="65"/>
    </row>
    <row r="164" spans="1:2" x14ac:dyDescent="0.2">
      <c r="A164" s="65"/>
      <c r="B164" s="65"/>
    </row>
    <row r="165" spans="1:2" x14ac:dyDescent="0.2">
      <c r="A165" s="65"/>
      <c r="B165" s="65"/>
    </row>
    <row r="166" spans="1:2" x14ac:dyDescent="0.2">
      <c r="A166" s="65"/>
      <c r="B166" s="65"/>
    </row>
    <row r="167" spans="1:2" x14ac:dyDescent="0.2">
      <c r="A167" s="65"/>
      <c r="B167" s="65"/>
    </row>
    <row r="168" spans="1:2" x14ac:dyDescent="0.2">
      <c r="A168" s="65"/>
      <c r="B168" s="65"/>
    </row>
    <row r="169" spans="1:2" x14ac:dyDescent="0.2">
      <c r="A169" s="65"/>
      <c r="B169" s="65"/>
    </row>
    <row r="170" spans="1:2" x14ac:dyDescent="0.2">
      <c r="A170" s="65"/>
      <c r="B170" s="65"/>
    </row>
    <row r="171" spans="1:2" x14ac:dyDescent="0.2">
      <c r="A171" s="65"/>
      <c r="B171" s="65"/>
    </row>
    <row r="172" spans="1:2" x14ac:dyDescent="0.2">
      <c r="A172" s="65"/>
      <c r="B172" s="65"/>
    </row>
    <row r="173" spans="1:2" x14ac:dyDescent="0.2">
      <c r="A173" s="65"/>
      <c r="B173" s="65"/>
    </row>
    <row r="174" spans="1:2" x14ac:dyDescent="0.2">
      <c r="A174" s="65"/>
      <c r="B174" s="65"/>
    </row>
    <row r="175" spans="1:2" x14ac:dyDescent="0.2">
      <c r="A175" s="65"/>
      <c r="B175" s="65"/>
    </row>
    <row r="176" spans="1:2" x14ac:dyDescent="0.2">
      <c r="A176" s="65"/>
      <c r="B176" s="65"/>
    </row>
    <row r="177" spans="1:2" x14ac:dyDescent="0.2">
      <c r="A177" s="65"/>
      <c r="B177" s="65"/>
    </row>
    <row r="178" spans="1:2" x14ac:dyDescent="0.2">
      <c r="A178" s="65"/>
      <c r="B178" s="65"/>
    </row>
    <row r="179" spans="1:2" x14ac:dyDescent="0.2">
      <c r="A179" s="65"/>
      <c r="B179" s="65"/>
    </row>
    <row r="180" spans="1:2" x14ac:dyDescent="0.2">
      <c r="A180" s="65"/>
      <c r="B180" s="65"/>
    </row>
    <row r="181" spans="1:2" x14ac:dyDescent="0.2">
      <c r="A181" s="65"/>
      <c r="B181" s="65"/>
    </row>
    <row r="182" spans="1:2" x14ac:dyDescent="0.2">
      <c r="A182" s="65"/>
      <c r="B182" s="65"/>
    </row>
    <row r="183" spans="1:2" x14ac:dyDescent="0.2">
      <c r="A183" s="65"/>
      <c r="B183" s="65"/>
    </row>
    <row r="184" spans="1:2" x14ac:dyDescent="0.2">
      <c r="A184" s="65"/>
      <c r="B184" s="65"/>
    </row>
    <row r="185" spans="1:2" x14ac:dyDescent="0.2">
      <c r="A185" s="65"/>
      <c r="B185" s="65"/>
    </row>
    <row r="186" spans="1:2" x14ac:dyDescent="0.2">
      <c r="A186" s="65"/>
      <c r="B186" s="65"/>
    </row>
    <row r="187" spans="1:2" x14ac:dyDescent="0.2">
      <c r="A187" s="65"/>
      <c r="B187" s="65"/>
    </row>
    <row r="188" spans="1:2" x14ac:dyDescent="0.2">
      <c r="A188" s="65"/>
      <c r="B188" s="65"/>
    </row>
    <row r="189" spans="1:2" x14ac:dyDescent="0.2">
      <c r="A189" s="65"/>
      <c r="B189" s="65"/>
    </row>
    <row r="190" spans="1:2" x14ac:dyDescent="0.2">
      <c r="A190" s="65"/>
      <c r="B190" s="65"/>
    </row>
    <row r="191" spans="1:2" x14ac:dyDescent="0.2">
      <c r="A191" s="65"/>
      <c r="B191" s="65"/>
    </row>
    <row r="192" spans="1:2" x14ac:dyDescent="0.2">
      <c r="A192" s="65"/>
      <c r="B192" s="65"/>
    </row>
    <row r="193" spans="1:2" x14ac:dyDescent="0.2">
      <c r="A193" s="65"/>
      <c r="B193" s="65"/>
    </row>
    <row r="194" spans="1:2" x14ac:dyDescent="0.2">
      <c r="A194" s="65"/>
      <c r="B194" s="65"/>
    </row>
    <row r="195" spans="1:2" x14ac:dyDescent="0.2">
      <c r="A195" s="65"/>
      <c r="B195" s="65"/>
    </row>
    <row r="196" spans="1:2" x14ac:dyDescent="0.2">
      <c r="A196" s="65"/>
      <c r="B196" s="65"/>
    </row>
    <row r="197" spans="1:2" x14ac:dyDescent="0.2">
      <c r="A197" s="65"/>
      <c r="B197" s="65"/>
    </row>
    <row r="198" spans="1:2" x14ac:dyDescent="0.2">
      <c r="A198" s="65"/>
      <c r="B198" s="65"/>
    </row>
    <row r="199" spans="1:2" x14ac:dyDescent="0.2">
      <c r="A199" s="65"/>
      <c r="B199" s="65"/>
    </row>
    <row r="200" spans="1:2" x14ac:dyDescent="0.2">
      <c r="A200" s="65"/>
      <c r="B200" s="65"/>
    </row>
    <row r="201" spans="1:2" x14ac:dyDescent="0.2">
      <c r="A201" s="65"/>
      <c r="B201" s="65"/>
    </row>
    <row r="202" spans="1:2" x14ac:dyDescent="0.2">
      <c r="A202" s="65"/>
      <c r="B202" s="65"/>
    </row>
    <row r="203" spans="1:2" x14ac:dyDescent="0.2">
      <c r="A203" s="65"/>
      <c r="B203" s="65"/>
    </row>
    <row r="204" spans="1:2" x14ac:dyDescent="0.2">
      <c r="A204" s="65"/>
      <c r="B204" s="65"/>
    </row>
    <row r="205" spans="1:2" x14ac:dyDescent="0.2">
      <c r="A205" s="65"/>
      <c r="B205" s="65"/>
    </row>
    <row r="206" spans="1:2" x14ac:dyDescent="0.2">
      <c r="A206" s="65"/>
      <c r="B206" s="65"/>
    </row>
    <row r="207" spans="1:2" x14ac:dyDescent="0.2">
      <c r="A207" s="65"/>
      <c r="B207" s="65"/>
    </row>
    <row r="208" spans="1:2" x14ac:dyDescent="0.2">
      <c r="A208" s="65"/>
      <c r="B208" s="65"/>
    </row>
    <row r="209" spans="1:2" x14ac:dyDescent="0.2">
      <c r="A209" s="65"/>
      <c r="B209" s="65"/>
    </row>
    <row r="210" spans="1:2" x14ac:dyDescent="0.2">
      <c r="A210" s="65"/>
      <c r="B210" s="65"/>
    </row>
    <row r="211" spans="1:2" x14ac:dyDescent="0.2">
      <c r="A211" s="65"/>
      <c r="B211" s="65"/>
    </row>
    <row r="212" spans="1:2" x14ac:dyDescent="0.2">
      <c r="A212" s="65"/>
      <c r="B212" s="65"/>
    </row>
    <row r="213" spans="1:2" x14ac:dyDescent="0.2">
      <c r="A213" s="65"/>
      <c r="B213" s="65"/>
    </row>
    <row r="214" spans="1:2" x14ac:dyDescent="0.2">
      <c r="A214" s="65"/>
      <c r="B214" s="65"/>
    </row>
    <row r="215" spans="1:2" x14ac:dyDescent="0.2">
      <c r="A215" s="65"/>
      <c r="B215" s="65"/>
    </row>
    <row r="216" spans="1:2" x14ac:dyDescent="0.2">
      <c r="A216" s="65"/>
      <c r="B216" s="65"/>
    </row>
    <row r="217" spans="1:2" x14ac:dyDescent="0.2">
      <c r="A217" s="65"/>
      <c r="B217" s="65"/>
    </row>
    <row r="218" spans="1:2" x14ac:dyDescent="0.2">
      <c r="A218" s="65"/>
      <c r="B218" s="65"/>
    </row>
    <row r="219" spans="1:2" x14ac:dyDescent="0.2">
      <c r="A219" s="65"/>
      <c r="B219" s="65"/>
    </row>
    <row r="220" spans="1:2" x14ac:dyDescent="0.2">
      <c r="A220" s="65"/>
      <c r="B220" s="65"/>
    </row>
    <row r="221" spans="1:2" x14ac:dyDescent="0.2">
      <c r="A221" s="65"/>
      <c r="B221" s="65"/>
    </row>
    <row r="222" spans="1:2" x14ac:dyDescent="0.2">
      <c r="A222" s="65"/>
      <c r="B222" s="65"/>
    </row>
    <row r="223" spans="1:2" x14ac:dyDescent="0.2">
      <c r="A223" s="65"/>
      <c r="B223" s="65"/>
    </row>
    <row r="224" spans="1:2" x14ac:dyDescent="0.2">
      <c r="A224" s="65"/>
      <c r="B224" s="65"/>
    </row>
    <row r="225" spans="1:2" x14ac:dyDescent="0.2">
      <c r="A225" s="65"/>
      <c r="B225" s="65"/>
    </row>
    <row r="226" spans="1:2" x14ac:dyDescent="0.2">
      <c r="A226" s="65"/>
      <c r="B226" s="65"/>
    </row>
    <row r="227" spans="1:2" x14ac:dyDescent="0.2">
      <c r="A227" s="65"/>
      <c r="B227" s="65"/>
    </row>
    <row r="228" spans="1:2" x14ac:dyDescent="0.2">
      <c r="A228" s="65"/>
      <c r="B228" s="65"/>
    </row>
    <row r="229" spans="1:2" x14ac:dyDescent="0.2">
      <c r="A229" s="65"/>
      <c r="B229" s="65"/>
    </row>
    <row r="230" spans="1:2" x14ac:dyDescent="0.2">
      <c r="A230" s="65"/>
      <c r="B230" s="65"/>
    </row>
    <row r="231" spans="1:2" x14ac:dyDescent="0.2">
      <c r="A231" s="65"/>
      <c r="B231" s="65"/>
    </row>
    <row r="232" spans="1:2" x14ac:dyDescent="0.2">
      <c r="A232" s="65"/>
      <c r="B232" s="65"/>
    </row>
    <row r="233" spans="1:2" x14ac:dyDescent="0.2">
      <c r="A233" s="65"/>
      <c r="B233" s="65"/>
    </row>
    <row r="234" spans="1:2" x14ac:dyDescent="0.2">
      <c r="A234" s="65"/>
      <c r="B234" s="65"/>
    </row>
    <row r="235" spans="1:2" x14ac:dyDescent="0.2">
      <c r="A235" s="65"/>
      <c r="B235" s="65"/>
    </row>
    <row r="236" spans="1:2" x14ac:dyDescent="0.2">
      <c r="A236" s="65"/>
      <c r="B236" s="65"/>
    </row>
    <row r="237" spans="1:2" x14ac:dyDescent="0.2">
      <c r="A237" s="65"/>
      <c r="B237" s="65"/>
    </row>
    <row r="238" spans="1:2" x14ac:dyDescent="0.2">
      <c r="A238" s="65"/>
      <c r="B238" s="65"/>
    </row>
    <row r="239" spans="1:2" x14ac:dyDescent="0.2">
      <c r="A239" s="65"/>
      <c r="B239" s="65"/>
    </row>
    <row r="240" spans="1:2" x14ac:dyDescent="0.2">
      <c r="A240" s="65"/>
      <c r="B240" s="65"/>
    </row>
    <row r="241" spans="1:2" x14ac:dyDescent="0.2">
      <c r="A241" s="65"/>
      <c r="B241" s="65"/>
    </row>
    <row r="242" spans="1:2" x14ac:dyDescent="0.2">
      <c r="A242" s="65"/>
      <c r="B242" s="65"/>
    </row>
    <row r="243" spans="1:2" x14ac:dyDescent="0.2">
      <c r="A243" s="65"/>
      <c r="B243" s="65"/>
    </row>
    <row r="244" spans="1:2" x14ac:dyDescent="0.2">
      <c r="A244" s="65"/>
      <c r="B244" s="65"/>
    </row>
    <row r="245" spans="1:2" x14ac:dyDescent="0.2">
      <c r="A245" s="65"/>
      <c r="B245" s="65"/>
    </row>
    <row r="246" spans="1:2" x14ac:dyDescent="0.2">
      <c r="A246" s="65"/>
      <c r="B246" s="65"/>
    </row>
    <row r="247" spans="1:2" x14ac:dyDescent="0.2">
      <c r="A247" s="65"/>
      <c r="B247" s="65"/>
    </row>
    <row r="248" spans="1:2" x14ac:dyDescent="0.2">
      <c r="A248" s="65"/>
      <c r="B248" s="65"/>
    </row>
    <row r="249" spans="1:2" x14ac:dyDescent="0.2">
      <c r="A249" s="65"/>
      <c r="B249" s="65"/>
    </row>
    <row r="250" spans="1:2" x14ac:dyDescent="0.2">
      <c r="A250" s="65"/>
      <c r="B250" s="65"/>
    </row>
    <row r="251" spans="1:2" x14ac:dyDescent="0.2">
      <c r="A251" s="65"/>
      <c r="B251" s="65"/>
    </row>
    <row r="252" spans="1:2" x14ac:dyDescent="0.2">
      <c r="A252" s="65"/>
      <c r="B252" s="65"/>
    </row>
    <row r="253" spans="1:2" x14ac:dyDescent="0.2">
      <c r="A253" s="65"/>
      <c r="B253" s="65"/>
    </row>
    <row r="254" spans="1:2" x14ac:dyDescent="0.2">
      <c r="A254" s="65"/>
      <c r="B254" s="65"/>
    </row>
    <row r="255" spans="1:2" x14ac:dyDescent="0.2">
      <c r="A255" s="65"/>
      <c r="B255" s="65"/>
    </row>
    <row r="256" spans="1:2" x14ac:dyDescent="0.2">
      <c r="A256" s="65"/>
      <c r="B256" s="65"/>
    </row>
    <row r="257" spans="1:2" x14ac:dyDescent="0.2">
      <c r="A257" s="65"/>
      <c r="B257" s="65"/>
    </row>
    <row r="258" spans="1:2" x14ac:dyDescent="0.2">
      <c r="A258" s="65"/>
      <c r="B258" s="65"/>
    </row>
    <row r="259" spans="1:2" x14ac:dyDescent="0.2">
      <c r="A259" s="65"/>
      <c r="B259" s="65"/>
    </row>
    <row r="260" spans="1:2" x14ac:dyDescent="0.2">
      <c r="A260" s="65"/>
      <c r="B260" s="65"/>
    </row>
    <row r="261" spans="1:2" x14ac:dyDescent="0.2">
      <c r="A261" s="65"/>
      <c r="B261" s="65"/>
    </row>
    <row r="262" spans="1:2" x14ac:dyDescent="0.2">
      <c r="A262" s="65"/>
      <c r="B262" s="65"/>
    </row>
    <row r="263" spans="1:2" x14ac:dyDescent="0.2">
      <c r="A263" s="65"/>
      <c r="B263" s="65"/>
    </row>
    <row r="264" spans="1:2" x14ac:dyDescent="0.2">
      <c r="A264" s="65"/>
      <c r="B264" s="65"/>
    </row>
    <row r="265" spans="1:2" x14ac:dyDescent="0.2">
      <c r="A265" s="65"/>
      <c r="B265" s="65"/>
    </row>
    <row r="266" spans="1:2" x14ac:dyDescent="0.2">
      <c r="A266" s="65"/>
      <c r="B266" s="65"/>
    </row>
    <row r="267" spans="1:2" x14ac:dyDescent="0.2">
      <c r="A267" s="65"/>
      <c r="B267" s="65"/>
    </row>
  </sheetData>
  <mergeCells count="45">
    <mergeCell ref="B59:C59"/>
    <mergeCell ref="B60:C60"/>
    <mergeCell ref="B61:C61"/>
    <mergeCell ref="A56:A60"/>
    <mergeCell ref="B57:C57"/>
    <mergeCell ref="B56:C56"/>
    <mergeCell ref="B58:C58"/>
    <mergeCell ref="A51:A55"/>
    <mergeCell ref="B51:C51"/>
    <mergeCell ref="B52:C52"/>
    <mergeCell ref="B53:C53"/>
    <mergeCell ref="B54:C54"/>
    <mergeCell ref="B55:C55"/>
    <mergeCell ref="A48:J48"/>
    <mergeCell ref="A49:A50"/>
    <mergeCell ref="D49:D50"/>
    <mergeCell ref="E49:E50"/>
    <mergeCell ref="F49:H49"/>
    <mergeCell ref="I49:I50"/>
    <mergeCell ref="J49:J50"/>
    <mergeCell ref="B49:C50"/>
    <mergeCell ref="A7:H7"/>
    <mergeCell ref="F1:J1"/>
    <mergeCell ref="A2:J2"/>
    <mergeCell ref="A3:J3"/>
    <mergeCell ref="A6:J6"/>
    <mergeCell ref="A5:J5"/>
    <mergeCell ref="F42:I42"/>
    <mergeCell ref="E42:E44"/>
    <mergeCell ref="A42:A44"/>
    <mergeCell ref="B42:B44"/>
    <mergeCell ref="F43:G43"/>
    <mergeCell ref="H43:H44"/>
    <mergeCell ref="I43:I44"/>
    <mergeCell ref="C42:C44"/>
    <mergeCell ref="D42:D44"/>
    <mergeCell ref="A8:A10"/>
    <mergeCell ref="B8:B10"/>
    <mergeCell ref="F8:I8"/>
    <mergeCell ref="H9:H10"/>
    <mergeCell ref="D8:D10"/>
    <mergeCell ref="C8:C10"/>
    <mergeCell ref="I9:I10"/>
    <mergeCell ref="F9:G9"/>
    <mergeCell ref="E8:E10"/>
  </mergeCells>
  <phoneticPr fontId="14" type="noConversion"/>
  <printOptions horizontalCentered="1"/>
  <pageMargins left="0.15748031496062992" right="0.15748031496062992" top="3.937007874015748E-2" bottom="0.15748031496062992" header="0.15748031496062992" footer="0.15748031496062992"/>
  <pageSetup paperSize="9" scale="61" orientation="portrait" r:id="rId1"/>
  <headerFooter alignWithMargins="0"/>
  <rowBreaks count="2" manualBreakCount="2">
    <brk id="47" max="9" man="1"/>
    <brk id="78" max="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5" enableFormatConditionsCalculation="0">
    <tabColor indexed="50"/>
  </sheetPr>
  <dimension ref="A1:AQ28"/>
  <sheetViews>
    <sheetView view="pageBreakPreview" zoomScale="75" zoomScaleNormal="75" workbookViewId="0">
      <pane xSplit="9" ySplit="9" topLeftCell="AL10" activePane="bottomRight" state="frozen"/>
      <selection pane="topRight" activeCell="J1" sqref="J1"/>
      <selection pane="bottomLeft" activeCell="A10" sqref="A10"/>
      <selection pane="bottomRight" activeCell="N4" sqref="N4:S5"/>
    </sheetView>
  </sheetViews>
  <sheetFormatPr defaultRowHeight="12.75" x14ac:dyDescent="0.2"/>
  <cols>
    <col min="1" max="1" width="27.85546875" customWidth="1"/>
    <col min="2" max="2" width="12.28515625" customWidth="1"/>
    <col min="3" max="3" width="11.42578125" bestFit="1" customWidth="1"/>
    <col min="4" max="4" width="10.42578125" customWidth="1"/>
    <col min="5" max="7" width="9.7109375" bestFit="1" customWidth="1"/>
    <col min="8" max="9" width="11.42578125" bestFit="1" customWidth="1"/>
    <col min="10" max="10" width="10.5703125" customWidth="1"/>
    <col min="14" max="15" width="13" bestFit="1" customWidth="1"/>
    <col min="16" max="16" width="10.28515625" customWidth="1"/>
    <col min="20" max="21" width="11.140625" customWidth="1"/>
    <col min="22" max="22" width="35.140625" customWidth="1"/>
    <col min="23" max="23" width="22.42578125" customWidth="1"/>
    <col min="24" max="24" width="17.42578125" customWidth="1"/>
    <col min="25" max="25" width="12.140625" customWidth="1"/>
    <col min="26" max="26" width="12.42578125" customWidth="1"/>
    <col min="27" max="27" width="12" customWidth="1"/>
    <col min="28" max="28" width="11.5703125" customWidth="1"/>
    <col min="29" max="29" width="12.140625" customWidth="1"/>
    <col min="30" max="30" width="12.85546875" customWidth="1"/>
    <col min="31" max="31" width="10" customWidth="1"/>
    <col min="32" max="32" width="9.85546875" customWidth="1"/>
    <col min="33" max="34" width="10.42578125" customWidth="1"/>
    <col min="35" max="35" width="10" customWidth="1"/>
    <col min="36" max="37" width="11.140625" customWidth="1"/>
    <col min="38" max="38" width="18.7109375" customWidth="1"/>
    <col min="39" max="39" width="16.140625" customWidth="1"/>
    <col min="40" max="40" width="16.42578125" customWidth="1"/>
    <col min="41" max="41" width="19.28515625" customWidth="1"/>
    <col min="42" max="42" width="16.7109375" customWidth="1"/>
    <col min="43" max="43" width="15.85546875" customWidth="1"/>
  </cols>
  <sheetData>
    <row r="1" spans="1:43" ht="29.45" customHeight="1" x14ac:dyDescent="0.3">
      <c r="A1" s="18"/>
      <c r="B1" s="18"/>
      <c r="C1" s="18"/>
      <c r="D1" s="18"/>
      <c r="E1" s="389"/>
      <c r="F1" s="389"/>
      <c r="G1" s="389"/>
    </row>
    <row r="2" spans="1:43" ht="42.75" customHeight="1" x14ac:dyDescent="0.2">
      <c r="A2" s="390" t="s">
        <v>265</v>
      </c>
      <c r="B2" s="390"/>
      <c r="C2" s="390"/>
      <c r="D2" s="390"/>
      <c r="E2" s="390"/>
      <c r="F2" s="390"/>
      <c r="G2" s="390"/>
      <c r="H2" s="390"/>
      <c r="I2" s="390"/>
      <c r="J2" s="390"/>
      <c r="K2" s="390"/>
      <c r="L2" s="390"/>
      <c r="M2" s="390"/>
      <c r="N2" s="390"/>
      <c r="O2" s="390"/>
      <c r="P2" s="390"/>
      <c r="Q2" s="390"/>
      <c r="R2" s="390"/>
      <c r="S2" s="390"/>
      <c r="T2" s="390"/>
      <c r="U2" s="390"/>
      <c r="V2" s="390"/>
      <c r="W2" s="390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8"/>
      <c r="AM2" s="98"/>
      <c r="AN2" s="98"/>
      <c r="AO2" s="98"/>
      <c r="AP2" s="98"/>
      <c r="AQ2" s="98"/>
    </row>
    <row r="3" spans="1:43" ht="18.75" x14ac:dyDescent="0.3">
      <c r="A3" s="18"/>
      <c r="B3" s="18"/>
      <c r="C3" s="18"/>
      <c r="D3" s="18"/>
      <c r="E3" s="18"/>
      <c r="F3" s="18"/>
      <c r="G3" s="18"/>
      <c r="AK3" s="98"/>
      <c r="AL3" s="97"/>
      <c r="AM3" s="97"/>
      <c r="AN3" s="97"/>
      <c r="AO3" s="97"/>
      <c r="AP3" s="97"/>
      <c r="AQ3" s="97"/>
    </row>
    <row r="4" spans="1:43" ht="58.15" customHeight="1" x14ac:dyDescent="0.2">
      <c r="A4" s="374" t="s">
        <v>193</v>
      </c>
      <c r="B4" s="379" t="s">
        <v>196</v>
      </c>
      <c r="C4" s="380"/>
      <c r="D4" s="380"/>
      <c r="E4" s="380"/>
      <c r="F4" s="380"/>
      <c r="G4" s="381"/>
      <c r="H4" s="379" t="s">
        <v>194</v>
      </c>
      <c r="I4" s="380"/>
      <c r="J4" s="380"/>
      <c r="K4" s="380"/>
      <c r="L4" s="380"/>
      <c r="M4" s="381"/>
      <c r="N4" s="379" t="s">
        <v>195</v>
      </c>
      <c r="O4" s="380"/>
      <c r="P4" s="380"/>
      <c r="Q4" s="380"/>
      <c r="R4" s="380"/>
      <c r="S4" s="381"/>
      <c r="T4" s="379" t="s">
        <v>218</v>
      </c>
      <c r="U4" s="381"/>
      <c r="V4" s="379" t="s">
        <v>255</v>
      </c>
      <c r="W4" s="381"/>
      <c r="X4" s="375" t="s">
        <v>233</v>
      </c>
      <c r="Y4" s="385" t="s">
        <v>234</v>
      </c>
      <c r="Z4" s="387"/>
      <c r="AA4" s="387"/>
      <c r="AB4" s="387"/>
      <c r="AC4" s="387"/>
      <c r="AD4" s="387"/>
      <c r="AE4" s="386"/>
      <c r="AF4" s="374" t="s">
        <v>219</v>
      </c>
      <c r="AG4" s="374"/>
      <c r="AH4" s="374"/>
      <c r="AI4" s="374"/>
      <c r="AJ4" s="374"/>
      <c r="AK4" s="374"/>
      <c r="AL4" s="374" t="s">
        <v>235</v>
      </c>
      <c r="AM4" s="385" t="s">
        <v>234</v>
      </c>
      <c r="AN4" s="387"/>
      <c r="AO4" s="387"/>
      <c r="AP4" s="387"/>
      <c r="AQ4" s="386"/>
    </row>
    <row r="5" spans="1:43" ht="102" customHeight="1" x14ac:dyDescent="0.2">
      <c r="A5" s="374"/>
      <c r="B5" s="382"/>
      <c r="C5" s="383"/>
      <c r="D5" s="383"/>
      <c r="E5" s="383"/>
      <c r="F5" s="383"/>
      <c r="G5" s="384"/>
      <c r="H5" s="382"/>
      <c r="I5" s="383"/>
      <c r="J5" s="383"/>
      <c r="K5" s="383"/>
      <c r="L5" s="383"/>
      <c r="M5" s="384"/>
      <c r="N5" s="382"/>
      <c r="O5" s="383"/>
      <c r="P5" s="383"/>
      <c r="Q5" s="383"/>
      <c r="R5" s="383"/>
      <c r="S5" s="384"/>
      <c r="T5" s="382"/>
      <c r="U5" s="384"/>
      <c r="V5" s="382"/>
      <c r="W5" s="384"/>
      <c r="X5" s="388"/>
      <c r="Y5" s="374" t="s">
        <v>252</v>
      </c>
      <c r="Z5" s="374" t="s">
        <v>251</v>
      </c>
      <c r="AA5" s="374" t="s">
        <v>253</v>
      </c>
      <c r="AB5" s="374" t="s">
        <v>254</v>
      </c>
      <c r="AC5" s="374" t="s">
        <v>26</v>
      </c>
      <c r="AD5" s="374" t="s">
        <v>74</v>
      </c>
      <c r="AE5" s="374" t="s">
        <v>79</v>
      </c>
      <c r="AF5" s="385" t="s">
        <v>199</v>
      </c>
      <c r="AG5" s="386"/>
      <c r="AH5" s="385" t="s">
        <v>200</v>
      </c>
      <c r="AI5" s="386"/>
      <c r="AJ5" s="385" t="s">
        <v>201</v>
      </c>
      <c r="AK5" s="386"/>
      <c r="AL5" s="374"/>
      <c r="AM5" s="374" t="s">
        <v>244</v>
      </c>
      <c r="AN5" s="374" t="s">
        <v>245</v>
      </c>
      <c r="AO5" s="374" t="s">
        <v>246</v>
      </c>
      <c r="AP5" s="374" t="s">
        <v>247</v>
      </c>
      <c r="AQ5" s="374" t="s">
        <v>248</v>
      </c>
    </row>
    <row r="6" spans="1:43" ht="39.75" customHeight="1" x14ac:dyDescent="0.2">
      <c r="A6" s="374"/>
      <c r="B6" s="374" t="s">
        <v>239</v>
      </c>
      <c r="C6" s="374" t="s">
        <v>261</v>
      </c>
      <c r="D6" s="374" t="s">
        <v>266</v>
      </c>
      <c r="E6" s="374" t="s">
        <v>95</v>
      </c>
      <c r="F6" s="374"/>
      <c r="G6" s="374"/>
      <c r="H6" s="374" t="s">
        <v>239</v>
      </c>
      <c r="I6" s="374" t="s">
        <v>261</v>
      </c>
      <c r="J6" s="374" t="s">
        <v>266</v>
      </c>
      <c r="K6" s="374" t="s">
        <v>95</v>
      </c>
      <c r="L6" s="374"/>
      <c r="M6" s="374"/>
      <c r="N6" s="374" t="s">
        <v>239</v>
      </c>
      <c r="O6" s="374" t="s">
        <v>261</v>
      </c>
      <c r="P6" s="374" t="s">
        <v>266</v>
      </c>
      <c r="Q6" s="374" t="s">
        <v>95</v>
      </c>
      <c r="R6" s="374"/>
      <c r="S6" s="374"/>
      <c r="T6" s="375" t="s">
        <v>261</v>
      </c>
      <c r="U6" s="375" t="s">
        <v>266</v>
      </c>
      <c r="V6" s="375" t="s">
        <v>249</v>
      </c>
      <c r="W6" s="375" t="s">
        <v>250</v>
      </c>
      <c r="X6" s="388"/>
      <c r="Y6" s="374"/>
      <c r="Z6" s="374"/>
      <c r="AA6" s="374"/>
      <c r="AB6" s="374"/>
      <c r="AC6" s="374"/>
      <c r="AD6" s="374"/>
      <c r="AE6" s="374"/>
      <c r="AF6" s="375" t="s">
        <v>261</v>
      </c>
      <c r="AG6" s="375" t="s">
        <v>266</v>
      </c>
      <c r="AH6" s="375" t="s">
        <v>261</v>
      </c>
      <c r="AI6" s="375" t="s">
        <v>266</v>
      </c>
      <c r="AJ6" s="375" t="s">
        <v>261</v>
      </c>
      <c r="AK6" s="375" t="s">
        <v>266</v>
      </c>
      <c r="AL6" s="374"/>
      <c r="AM6" s="374"/>
      <c r="AN6" s="374"/>
      <c r="AO6" s="374"/>
      <c r="AP6" s="374"/>
      <c r="AQ6" s="374"/>
    </row>
    <row r="7" spans="1:43" ht="36" customHeight="1" x14ac:dyDescent="0.2">
      <c r="A7" s="374"/>
      <c r="B7" s="374"/>
      <c r="C7" s="374"/>
      <c r="D7" s="374"/>
      <c r="E7" s="226" t="s">
        <v>231</v>
      </c>
      <c r="F7" s="226" t="s">
        <v>238</v>
      </c>
      <c r="G7" s="226" t="s">
        <v>262</v>
      </c>
      <c r="H7" s="374"/>
      <c r="I7" s="374"/>
      <c r="J7" s="374"/>
      <c r="K7" s="226" t="s">
        <v>231</v>
      </c>
      <c r="L7" s="226" t="s">
        <v>238</v>
      </c>
      <c r="M7" s="226" t="s">
        <v>262</v>
      </c>
      <c r="N7" s="374"/>
      <c r="O7" s="374"/>
      <c r="P7" s="374"/>
      <c r="Q7" s="226" t="s">
        <v>231</v>
      </c>
      <c r="R7" s="226" t="s">
        <v>238</v>
      </c>
      <c r="S7" s="226" t="s">
        <v>262</v>
      </c>
      <c r="T7" s="376"/>
      <c r="U7" s="376"/>
      <c r="V7" s="376"/>
      <c r="W7" s="376"/>
      <c r="X7" s="376"/>
      <c r="Y7" s="374"/>
      <c r="Z7" s="374"/>
      <c r="AA7" s="374"/>
      <c r="AB7" s="374"/>
      <c r="AC7" s="374"/>
      <c r="AD7" s="374"/>
      <c r="AE7" s="374"/>
      <c r="AF7" s="376"/>
      <c r="AG7" s="376"/>
      <c r="AH7" s="376"/>
      <c r="AI7" s="376"/>
      <c r="AJ7" s="376"/>
      <c r="AK7" s="376"/>
      <c r="AL7" s="374"/>
      <c r="AM7" s="374"/>
      <c r="AN7" s="374"/>
      <c r="AO7" s="374"/>
      <c r="AP7" s="374"/>
      <c r="AQ7" s="374"/>
    </row>
    <row r="8" spans="1:43" ht="31.5" x14ac:dyDescent="0.2">
      <c r="A8" s="227" t="s">
        <v>274</v>
      </c>
      <c r="B8" s="228">
        <v>926.46600000000001</v>
      </c>
      <c r="C8" s="229">
        <v>1207.31</v>
      </c>
      <c r="D8" s="113">
        <f>SUM(C8*106.5%)</f>
        <v>1285.7851499999999</v>
      </c>
      <c r="E8" s="113">
        <f>SUM(D8*104.9%)</f>
        <v>1348.7886223500002</v>
      </c>
      <c r="F8" s="113">
        <f>SUM(C8*104.5%)</f>
        <v>1261.6389499999998</v>
      </c>
      <c r="G8" s="113">
        <f>SUM(F8*104%)</f>
        <v>1312.1045079999999</v>
      </c>
      <c r="H8" s="228">
        <v>556.22799999999995</v>
      </c>
      <c r="I8" s="229">
        <v>595.82000000000005</v>
      </c>
      <c r="J8" s="108">
        <f>SUM(I8*98.5%)</f>
        <v>586.8827</v>
      </c>
      <c r="K8" s="108">
        <f>SUM(J8*101.2%)</f>
        <v>593.92529239999999</v>
      </c>
      <c r="L8" s="108">
        <f>SUM(K8*101.3%)</f>
        <v>601.64632120119995</v>
      </c>
      <c r="M8" s="108">
        <f>SUM(L8*100%)</f>
        <v>601.64632120119995</v>
      </c>
      <c r="N8" s="228">
        <v>2986</v>
      </c>
      <c r="O8" s="229">
        <v>2088</v>
      </c>
      <c r="P8" s="111">
        <f t="shared" ref="P8:P17" si="0">SUM(O8*99.7%)</f>
        <v>2081.7359999999999</v>
      </c>
      <c r="Q8" s="112">
        <f t="shared" ref="Q8:Q17" si="1">SUM(P8*99.4%)</f>
        <v>2069.2455840000002</v>
      </c>
      <c r="R8" s="112">
        <f t="shared" ref="R8" si="2">SUM(P8*99.5%)</f>
        <v>2071.3273199999999</v>
      </c>
      <c r="S8" s="112">
        <f t="shared" ref="S8:S17" si="3">SUM(R8*99.3%)</f>
        <v>2056.8280287600001</v>
      </c>
      <c r="T8" s="230">
        <v>100</v>
      </c>
      <c r="U8" s="230">
        <v>100</v>
      </c>
      <c r="V8" s="231"/>
      <c r="W8" s="231"/>
      <c r="X8" s="230">
        <v>233</v>
      </c>
      <c r="Y8" s="232">
        <v>18</v>
      </c>
      <c r="Z8" s="232">
        <v>15</v>
      </c>
      <c r="AA8" s="232">
        <v>0</v>
      </c>
      <c r="AB8" s="230">
        <v>9</v>
      </c>
      <c r="AC8" s="230">
        <v>40</v>
      </c>
      <c r="AD8" s="230">
        <v>37</v>
      </c>
      <c r="AE8" s="230">
        <v>114</v>
      </c>
      <c r="AF8" s="233">
        <v>400</v>
      </c>
      <c r="AG8" s="233">
        <v>381</v>
      </c>
      <c r="AH8" s="233">
        <v>8</v>
      </c>
      <c r="AI8" s="233">
        <v>8</v>
      </c>
      <c r="AJ8" s="233">
        <v>129</v>
      </c>
      <c r="AK8" s="233">
        <v>117</v>
      </c>
      <c r="AL8" s="230">
        <v>24</v>
      </c>
      <c r="AM8" s="230">
        <v>4</v>
      </c>
      <c r="AN8" s="230">
        <v>7</v>
      </c>
      <c r="AO8" s="230">
        <v>3</v>
      </c>
      <c r="AP8" s="230"/>
      <c r="AQ8" s="230">
        <v>4</v>
      </c>
    </row>
    <row r="9" spans="1:43" ht="31.5" x14ac:dyDescent="0.25">
      <c r="A9" s="227" t="s">
        <v>275</v>
      </c>
      <c r="B9" s="228">
        <v>5667.98</v>
      </c>
      <c r="C9" s="229">
        <v>5762.54</v>
      </c>
      <c r="D9" s="113">
        <f t="shared" ref="D9:D17" si="4">SUM(C9*106.5%)</f>
        <v>6137.1050999999998</v>
      </c>
      <c r="E9" s="113">
        <f t="shared" ref="E9:E17" si="5">SUM(D9*104.9%)</f>
        <v>6437.8232499000005</v>
      </c>
      <c r="F9" s="113">
        <f t="shared" ref="F9:F15" si="6">SUM(C9*104.5%)</f>
        <v>6021.8543</v>
      </c>
      <c r="G9" s="113">
        <f t="shared" ref="G9:G17" si="7">SUM(F9*104%)</f>
        <v>6262.7284719999998</v>
      </c>
      <c r="H9" s="228">
        <v>2405.2800000000002</v>
      </c>
      <c r="I9" s="229">
        <v>2540.85</v>
      </c>
      <c r="J9" s="108">
        <f t="shared" ref="J9:J15" si="8">SUM(I9*98.5%)</f>
        <v>2502.7372499999997</v>
      </c>
      <c r="K9" s="108">
        <f t="shared" ref="K9:K15" si="9">SUM(J9*101.2%)</f>
        <v>2532.7700969999996</v>
      </c>
      <c r="L9" s="108">
        <f t="shared" ref="L9:L15" si="10">SUM(K9*101.3%)</f>
        <v>2565.6961082609992</v>
      </c>
      <c r="M9" s="108">
        <f t="shared" ref="M9:M15" si="11">SUM(L9*100%)</f>
        <v>2565.6961082609992</v>
      </c>
      <c r="N9" s="228">
        <v>8345</v>
      </c>
      <c r="O9" s="229">
        <v>9810</v>
      </c>
      <c r="P9" s="111">
        <f t="shared" si="0"/>
        <v>9780.57</v>
      </c>
      <c r="Q9" s="112">
        <f t="shared" si="1"/>
        <v>9721.8865800000003</v>
      </c>
      <c r="R9" s="112">
        <f t="shared" ref="R9:R17" si="12">SUM(P9*99.5%)</f>
        <v>9731.6671499999993</v>
      </c>
      <c r="S9" s="112">
        <f t="shared" si="3"/>
        <v>9663.5454799499985</v>
      </c>
      <c r="T9" s="234">
        <v>142</v>
      </c>
      <c r="U9" s="234">
        <v>142</v>
      </c>
      <c r="V9" s="231"/>
      <c r="W9" s="231"/>
      <c r="X9" s="234">
        <v>254</v>
      </c>
      <c r="Y9" s="234">
        <v>24</v>
      </c>
      <c r="Z9" s="234">
        <v>10</v>
      </c>
      <c r="AA9" s="234">
        <v>2</v>
      </c>
      <c r="AB9" s="234">
        <v>24</v>
      </c>
      <c r="AC9" s="234">
        <v>54</v>
      </c>
      <c r="AD9" s="234">
        <v>33</v>
      </c>
      <c r="AE9" s="234">
        <v>107</v>
      </c>
      <c r="AF9" s="233">
        <v>517</v>
      </c>
      <c r="AG9" s="233">
        <v>413</v>
      </c>
      <c r="AH9" s="233">
        <v>12</v>
      </c>
      <c r="AI9" s="233">
        <v>12</v>
      </c>
      <c r="AJ9" s="233">
        <v>155</v>
      </c>
      <c r="AK9" s="233">
        <v>135</v>
      </c>
      <c r="AL9" s="234">
        <v>26</v>
      </c>
      <c r="AM9" s="234">
        <v>5</v>
      </c>
      <c r="AN9" s="234">
        <v>5</v>
      </c>
      <c r="AO9" s="234">
        <v>3</v>
      </c>
      <c r="AP9" s="234"/>
      <c r="AQ9" s="234">
        <v>3</v>
      </c>
    </row>
    <row r="10" spans="1:43" ht="31.5" x14ac:dyDescent="0.25">
      <c r="A10" s="227" t="s">
        <v>276</v>
      </c>
      <c r="B10" s="228">
        <v>385.5</v>
      </c>
      <c r="C10" s="229">
        <v>362.32</v>
      </c>
      <c r="D10" s="113">
        <f t="shared" si="4"/>
        <v>385.87079999999997</v>
      </c>
      <c r="E10" s="113">
        <f t="shared" si="5"/>
        <v>404.77846920000002</v>
      </c>
      <c r="F10" s="113">
        <f t="shared" si="6"/>
        <v>378.62439999999998</v>
      </c>
      <c r="G10" s="113">
        <f t="shared" si="7"/>
        <v>393.76937599999997</v>
      </c>
      <c r="H10" s="228">
        <v>354.52699999999999</v>
      </c>
      <c r="I10" s="229">
        <v>284.74</v>
      </c>
      <c r="J10" s="108">
        <f t="shared" si="8"/>
        <v>280.46890000000002</v>
      </c>
      <c r="K10" s="108">
        <f t="shared" si="9"/>
        <v>283.83452680000005</v>
      </c>
      <c r="L10" s="108">
        <f t="shared" si="10"/>
        <v>287.5243756484</v>
      </c>
      <c r="M10" s="108">
        <f t="shared" si="11"/>
        <v>287.5243756484</v>
      </c>
      <c r="N10" s="228">
        <v>1100</v>
      </c>
      <c r="O10" s="229">
        <v>953</v>
      </c>
      <c r="P10" s="111">
        <f t="shared" si="0"/>
        <v>950.14099999999996</v>
      </c>
      <c r="Q10" s="112">
        <f t="shared" si="1"/>
        <v>944.44015400000001</v>
      </c>
      <c r="R10" s="112">
        <f t="shared" si="12"/>
        <v>945.39029499999992</v>
      </c>
      <c r="S10" s="112">
        <f t="shared" si="3"/>
        <v>938.77256293499988</v>
      </c>
      <c r="T10" s="234">
        <v>32</v>
      </c>
      <c r="U10" s="234">
        <v>32</v>
      </c>
      <c r="V10" s="231"/>
      <c r="W10" s="231"/>
      <c r="X10" s="234">
        <v>38</v>
      </c>
      <c r="Y10" s="234">
        <v>6</v>
      </c>
      <c r="Z10" s="234"/>
      <c r="AA10" s="234"/>
      <c r="AB10" s="234">
        <v>1</v>
      </c>
      <c r="AC10" s="234">
        <v>11</v>
      </c>
      <c r="AD10" s="234">
        <v>3</v>
      </c>
      <c r="AE10" s="234">
        <v>17</v>
      </c>
      <c r="AF10" s="233">
        <v>84</v>
      </c>
      <c r="AG10" s="233">
        <v>65</v>
      </c>
      <c r="AH10" s="233">
        <v>1</v>
      </c>
      <c r="AI10" s="233">
        <v>1</v>
      </c>
      <c r="AJ10" s="233">
        <v>24</v>
      </c>
      <c r="AK10" s="233">
        <v>18</v>
      </c>
      <c r="AL10" s="234">
        <v>6</v>
      </c>
      <c r="AM10" s="234">
        <v>2</v>
      </c>
      <c r="AN10" s="234">
        <v>2</v>
      </c>
      <c r="AO10" s="234"/>
      <c r="AP10" s="234"/>
      <c r="AQ10" s="234">
        <v>1</v>
      </c>
    </row>
    <row r="11" spans="1:43" ht="31.5" x14ac:dyDescent="0.25">
      <c r="A11" s="227" t="s">
        <v>277</v>
      </c>
      <c r="B11" s="228">
        <v>26.51</v>
      </c>
      <c r="C11" s="229">
        <v>39.265000000000001</v>
      </c>
      <c r="D11" s="113">
        <f t="shared" si="4"/>
        <v>41.817225000000001</v>
      </c>
      <c r="E11" s="113">
        <f t="shared" si="5"/>
        <v>43.866269025000008</v>
      </c>
      <c r="F11" s="113">
        <f t="shared" si="6"/>
        <v>41.031925000000001</v>
      </c>
      <c r="G11" s="113">
        <f t="shared" si="7"/>
        <v>42.673202000000003</v>
      </c>
      <c r="H11" s="228">
        <v>28.96</v>
      </c>
      <c r="I11" s="229">
        <v>32.85</v>
      </c>
      <c r="J11" s="108">
        <f t="shared" si="8"/>
        <v>32.357250000000001</v>
      </c>
      <c r="K11" s="108">
        <f t="shared" si="9"/>
        <v>32.745536999999999</v>
      </c>
      <c r="L11" s="108">
        <f t="shared" si="10"/>
        <v>33.171228980999999</v>
      </c>
      <c r="M11" s="108">
        <f t="shared" si="11"/>
        <v>33.171228980999999</v>
      </c>
      <c r="N11" s="228">
        <v>254</v>
      </c>
      <c r="O11" s="229">
        <v>121</v>
      </c>
      <c r="P11" s="111">
        <f t="shared" si="0"/>
        <v>120.637</v>
      </c>
      <c r="Q11" s="112">
        <f t="shared" si="1"/>
        <v>119.91317800000002</v>
      </c>
      <c r="R11" s="112">
        <f t="shared" si="12"/>
        <v>120.033815</v>
      </c>
      <c r="S11" s="112">
        <f t="shared" si="3"/>
        <v>119.19357829500001</v>
      </c>
      <c r="T11" s="234">
        <v>0</v>
      </c>
      <c r="U11" s="234">
        <v>0</v>
      </c>
      <c r="V11" s="231"/>
      <c r="W11" s="231"/>
      <c r="X11" s="234">
        <v>14</v>
      </c>
      <c r="Y11" s="234">
        <v>1</v>
      </c>
      <c r="Z11" s="234"/>
      <c r="AA11" s="234"/>
      <c r="AB11" s="234"/>
      <c r="AC11" s="234">
        <v>4</v>
      </c>
      <c r="AD11" s="234">
        <v>1</v>
      </c>
      <c r="AE11" s="234">
        <v>8</v>
      </c>
      <c r="AF11" s="233">
        <v>7</v>
      </c>
      <c r="AG11" s="233">
        <v>7</v>
      </c>
      <c r="AH11" s="233">
        <v>1</v>
      </c>
      <c r="AI11" s="233">
        <v>1</v>
      </c>
      <c r="AJ11" s="233">
        <v>7</v>
      </c>
      <c r="AK11" s="233">
        <v>3</v>
      </c>
      <c r="AL11" s="234">
        <v>5</v>
      </c>
      <c r="AM11" s="234">
        <v>1</v>
      </c>
      <c r="AN11" s="234">
        <v>1</v>
      </c>
      <c r="AO11" s="234"/>
      <c r="AP11" s="234"/>
      <c r="AQ11" s="234">
        <v>1</v>
      </c>
    </row>
    <row r="12" spans="1:43" ht="31.5" x14ac:dyDescent="0.25">
      <c r="A12" s="227" t="s">
        <v>278</v>
      </c>
      <c r="B12" s="228">
        <v>28.55</v>
      </c>
      <c r="C12" s="229">
        <v>19.893999999999998</v>
      </c>
      <c r="D12" s="113">
        <f t="shared" si="4"/>
        <v>21.187109999999997</v>
      </c>
      <c r="E12" s="113">
        <f t="shared" si="5"/>
        <v>22.22527839</v>
      </c>
      <c r="F12" s="113">
        <f t="shared" si="6"/>
        <v>20.789229999999996</v>
      </c>
      <c r="G12" s="113">
        <f t="shared" si="7"/>
        <v>21.620799199999997</v>
      </c>
      <c r="H12" s="228">
        <v>49.026000000000003</v>
      </c>
      <c r="I12" s="229">
        <v>72.44</v>
      </c>
      <c r="J12" s="108">
        <f t="shared" si="8"/>
        <v>71.353399999999993</v>
      </c>
      <c r="K12" s="108">
        <f t="shared" si="9"/>
        <v>72.209640799999988</v>
      </c>
      <c r="L12" s="108">
        <f t="shared" si="10"/>
        <v>73.148366130399978</v>
      </c>
      <c r="M12" s="108">
        <f t="shared" si="11"/>
        <v>73.148366130399978</v>
      </c>
      <c r="N12" s="228">
        <v>170</v>
      </c>
      <c r="O12" s="229">
        <v>88</v>
      </c>
      <c r="P12" s="111">
        <f t="shared" si="0"/>
        <v>87.736000000000004</v>
      </c>
      <c r="Q12" s="112">
        <f t="shared" si="1"/>
        <v>87.209584000000007</v>
      </c>
      <c r="R12" s="112">
        <f t="shared" si="12"/>
        <v>87.297319999999999</v>
      </c>
      <c r="S12" s="112">
        <f t="shared" si="3"/>
        <v>86.686238759999995</v>
      </c>
      <c r="T12" s="234">
        <v>10</v>
      </c>
      <c r="U12" s="234">
        <v>10</v>
      </c>
      <c r="V12" s="231"/>
      <c r="W12" s="231"/>
      <c r="X12" s="234">
        <v>20</v>
      </c>
      <c r="Y12" s="234"/>
      <c r="Z12" s="234">
        <v>3</v>
      </c>
      <c r="AA12" s="234">
        <v>1</v>
      </c>
      <c r="AB12" s="234">
        <v>1</v>
      </c>
      <c r="AC12" s="234">
        <v>2</v>
      </c>
      <c r="AD12" s="234">
        <v>2</v>
      </c>
      <c r="AE12" s="234">
        <v>11</v>
      </c>
      <c r="AF12" s="233">
        <v>36</v>
      </c>
      <c r="AG12" s="233">
        <v>35</v>
      </c>
      <c r="AH12" s="233">
        <v>0</v>
      </c>
      <c r="AI12" s="233">
        <v>0</v>
      </c>
      <c r="AJ12" s="233">
        <v>11</v>
      </c>
      <c r="AK12" s="233">
        <v>12</v>
      </c>
      <c r="AL12" s="234">
        <v>4</v>
      </c>
      <c r="AM12" s="234"/>
      <c r="AN12" s="234">
        <v>1</v>
      </c>
      <c r="AO12" s="234"/>
      <c r="AP12" s="234"/>
      <c r="AQ12" s="234">
        <v>1</v>
      </c>
    </row>
    <row r="13" spans="1:43" ht="31.5" x14ac:dyDescent="0.25">
      <c r="A13" s="227" t="s">
        <v>279</v>
      </c>
      <c r="B13" s="228">
        <v>16.02</v>
      </c>
      <c r="C13" s="229">
        <v>10.9</v>
      </c>
      <c r="D13" s="113">
        <f t="shared" si="4"/>
        <v>11.608499999999999</v>
      </c>
      <c r="E13" s="113">
        <f t="shared" si="5"/>
        <v>12.177316500000002</v>
      </c>
      <c r="F13" s="113">
        <f t="shared" si="6"/>
        <v>11.390499999999999</v>
      </c>
      <c r="G13" s="113">
        <f t="shared" si="7"/>
        <v>11.846119999999999</v>
      </c>
      <c r="H13" s="235">
        <v>14.079000000000001</v>
      </c>
      <c r="I13" s="229">
        <v>31.35</v>
      </c>
      <c r="J13" s="108">
        <f t="shared" si="8"/>
        <v>30.879750000000001</v>
      </c>
      <c r="K13" s="108">
        <f t="shared" si="9"/>
        <v>31.250307000000003</v>
      </c>
      <c r="L13" s="108">
        <f t="shared" si="10"/>
        <v>31.656560990999999</v>
      </c>
      <c r="M13" s="108">
        <f t="shared" si="11"/>
        <v>31.656560990999999</v>
      </c>
      <c r="N13" s="235">
        <v>280</v>
      </c>
      <c r="O13" s="229">
        <v>35</v>
      </c>
      <c r="P13" s="111">
        <f t="shared" si="0"/>
        <v>34.895000000000003</v>
      </c>
      <c r="Q13" s="112">
        <f t="shared" si="1"/>
        <v>34.685630000000003</v>
      </c>
      <c r="R13" s="112">
        <f t="shared" si="12"/>
        <v>34.720525000000002</v>
      </c>
      <c r="S13" s="112">
        <f t="shared" si="3"/>
        <v>34.477481324999999</v>
      </c>
      <c r="T13" s="234">
        <v>2</v>
      </c>
      <c r="U13" s="234">
        <v>2</v>
      </c>
      <c r="V13" s="231"/>
      <c r="W13" s="231"/>
      <c r="X13" s="234">
        <v>7</v>
      </c>
      <c r="Y13" s="234">
        <v>1</v>
      </c>
      <c r="Z13" s="234"/>
      <c r="AA13" s="234"/>
      <c r="AB13" s="234"/>
      <c r="AC13" s="234">
        <v>1</v>
      </c>
      <c r="AD13" s="234"/>
      <c r="AE13" s="234">
        <v>5</v>
      </c>
      <c r="AF13" s="233">
        <v>14</v>
      </c>
      <c r="AG13" s="233">
        <v>11</v>
      </c>
      <c r="AH13" s="233">
        <v>0</v>
      </c>
      <c r="AI13" s="233">
        <v>0</v>
      </c>
      <c r="AJ13" s="233">
        <v>3</v>
      </c>
      <c r="AK13" s="233">
        <v>3</v>
      </c>
      <c r="AL13" s="234">
        <v>3</v>
      </c>
      <c r="AM13" s="234"/>
      <c r="AN13" s="234"/>
      <c r="AO13" s="234"/>
      <c r="AP13" s="234"/>
      <c r="AQ13" s="234">
        <v>1</v>
      </c>
    </row>
    <row r="14" spans="1:43" s="103" customFormat="1" ht="31.5" x14ac:dyDescent="0.25">
      <c r="A14" s="227" t="s">
        <v>280</v>
      </c>
      <c r="B14" s="228">
        <v>20.350000000000001</v>
      </c>
      <c r="C14" s="229">
        <v>7.78</v>
      </c>
      <c r="D14" s="113">
        <f t="shared" si="4"/>
        <v>8.2857000000000003</v>
      </c>
      <c r="E14" s="113">
        <f t="shared" si="5"/>
        <v>8.6916993000000016</v>
      </c>
      <c r="F14" s="113">
        <f t="shared" si="6"/>
        <v>8.1301000000000005</v>
      </c>
      <c r="G14" s="113">
        <f t="shared" si="7"/>
        <v>8.4553040000000017</v>
      </c>
      <c r="H14" s="235">
        <v>20.116</v>
      </c>
      <c r="I14" s="229">
        <v>29.56</v>
      </c>
      <c r="J14" s="108">
        <f t="shared" si="8"/>
        <v>29.116599999999998</v>
      </c>
      <c r="K14" s="108">
        <f t="shared" si="9"/>
        <v>29.465999199999999</v>
      </c>
      <c r="L14" s="108">
        <f t="shared" si="10"/>
        <v>29.849057189599996</v>
      </c>
      <c r="M14" s="108">
        <f t="shared" si="11"/>
        <v>29.849057189599996</v>
      </c>
      <c r="N14" s="235">
        <v>155</v>
      </c>
      <c r="O14" s="229">
        <v>129</v>
      </c>
      <c r="P14" s="111">
        <f t="shared" si="0"/>
        <v>128.613</v>
      </c>
      <c r="Q14" s="112">
        <f t="shared" si="1"/>
        <v>127.84132200000002</v>
      </c>
      <c r="R14" s="112">
        <f t="shared" si="12"/>
        <v>127.96993499999999</v>
      </c>
      <c r="S14" s="112">
        <f t="shared" si="3"/>
        <v>127.07414545499999</v>
      </c>
      <c r="T14" s="234">
        <v>8</v>
      </c>
      <c r="U14" s="234">
        <v>8</v>
      </c>
      <c r="V14" s="231"/>
      <c r="W14" s="231"/>
      <c r="X14" s="234">
        <v>5</v>
      </c>
      <c r="Y14" s="234"/>
      <c r="Z14" s="234"/>
      <c r="AA14" s="234"/>
      <c r="AB14" s="234"/>
      <c r="AC14" s="234">
        <v>2</v>
      </c>
      <c r="AD14" s="234"/>
      <c r="AE14" s="234">
        <v>3</v>
      </c>
      <c r="AF14" s="233">
        <v>15</v>
      </c>
      <c r="AG14" s="233">
        <v>17</v>
      </c>
      <c r="AH14" s="233">
        <v>0</v>
      </c>
      <c r="AI14" s="233">
        <v>0</v>
      </c>
      <c r="AJ14" s="233">
        <v>2</v>
      </c>
      <c r="AK14" s="233">
        <v>2</v>
      </c>
      <c r="AL14" s="234">
        <v>3</v>
      </c>
      <c r="AM14" s="234"/>
      <c r="AN14" s="234"/>
      <c r="AO14" s="234"/>
      <c r="AP14" s="234"/>
      <c r="AQ14" s="234">
        <v>1</v>
      </c>
    </row>
    <row r="15" spans="1:43" ht="31.5" x14ac:dyDescent="0.25">
      <c r="A15" s="227" t="s">
        <v>281</v>
      </c>
      <c r="B15" s="228">
        <v>1.48</v>
      </c>
      <c r="C15" s="229">
        <v>1</v>
      </c>
      <c r="D15" s="113">
        <f t="shared" si="4"/>
        <v>1.0649999999999999</v>
      </c>
      <c r="E15" s="113">
        <f t="shared" si="5"/>
        <v>1.1171850000000001</v>
      </c>
      <c r="F15" s="113">
        <f t="shared" si="6"/>
        <v>1.0449999999999999</v>
      </c>
      <c r="G15" s="113">
        <f t="shared" si="7"/>
        <v>1.0868</v>
      </c>
      <c r="H15" s="228">
        <v>17.555</v>
      </c>
      <c r="I15" s="229">
        <v>16.829999999999998</v>
      </c>
      <c r="J15" s="108">
        <f t="shared" si="8"/>
        <v>16.577549999999999</v>
      </c>
      <c r="K15" s="108">
        <f t="shared" si="9"/>
        <v>16.776480599999999</v>
      </c>
      <c r="L15" s="108">
        <f t="shared" si="10"/>
        <v>16.994574847799999</v>
      </c>
      <c r="M15" s="108">
        <f t="shared" si="11"/>
        <v>16.994574847799999</v>
      </c>
      <c r="N15" s="228">
        <v>40</v>
      </c>
      <c r="O15" s="229">
        <v>5</v>
      </c>
      <c r="P15" s="111">
        <f t="shared" si="0"/>
        <v>4.9850000000000003</v>
      </c>
      <c r="Q15" s="112">
        <f t="shared" si="1"/>
        <v>4.9550900000000011</v>
      </c>
      <c r="R15" s="112">
        <f t="shared" si="12"/>
        <v>4.9600750000000007</v>
      </c>
      <c r="S15" s="112">
        <f t="shared" si="3"/>
        <v>4.9253544750000007</v>
      </c>
      <c r="T15" s="234">
        <v>2</v>
      </c>
      <c r="U15" s="234">
        <v>2</v>
      </c>
      <c r="V15" s="231"/>
      <c r="W15" s="231"/>
      <c r="X15" s="234">
        <v>2</v>
      </c>
      <c r="Y15" s="234"/>
      <c r="Z15" s="234"/>
      <c r="AA15" s="234"/>
      <c r="AB15" s="234"/>
      <c r="AC15" s="234"/>
      <c r="AD15" s="234"/>
      <c r="AE15" s="234">
        <v>2</v>
      </c>
      <c r="AF15" s="233">
        <v>2</v>
      </c>
      <c r="AG15" s="233">
        <v>0</v>
      </c>
      <c r="AH15" s="233">
        <v>0</v>
      </c>
      <c r="AI15" s="233">
        <v>0</v>
      </c>
      <c r="AJ15" s="233">
        <v>0</v>
      </c>
      <c r="AK15" s="233">
        <v>0</v>
      </c>
      <c r="AL15" s="234">
        <v>2</v>
      </c>
      <c r="AM15" s="234"/>
      <c r="AN15" s="234"/>
      <c r="AO15" s="234"/>
      <c r="AP15" s="234"/>
      <c r="AQ15" s="234"/>
    </row>
    <row r="16" spans="1:43" s="103" customFormat="1" ht="18.75" x14ac:dyDescent="0.25">
      <c r="A16" s="227"/>
      <c r="B16" s="236"/>
      <c r="C16" s="237"/>
      <c r="D16" s="113"/>
      <c r="E16" s="113"/>
      <c r="F16" s="113"/>
      <c r="G16" s="113"/>
      <c r="H16" s="236"/>
      <c r="I16" s="237"/>
      <c r="J16" s="108"/>
      <c r="K16" s="108"/>
      <c r="L16" s="108"/>
      <c r="M16" s="108"/>
      <c r="N16" s="236"/>
      <c r="O16" s="237"/>
      <c r="P16" s="111"/>
      <c r="Q16" s="112"/>
      <c r="R16" s="112"/>
      <c r="S16" s="112"/>
      <c r="T16" s="234"/>
      <c r="U16" s="234"/>
      <c r="V16" s="231"/>
      <c r="W16" s="231"/>
      <c r="X16" s="234"/>
      <c r="Y16" s="234"/>
      <c r="Z16" s="234"/>
      <c r="AA16" s="234"/>
      <c r="AB16" s="234"/>
      <c r="AC16" s="234"/>
      <c r="AD16" s="234"/>
      <c r="AE16" s="234"/>
      <c r="AF16" s="233"/>
      <c r="AG16" s="233"/>
      <c r="AH16" s="233"/>
      <c r="AI16" s="233"/>
      <c r="AJ16" s="233"/>
      <c r="AK16" s="233"/>
      <c r="AL16" s="234"/>
      <c r="AM16" s="234"/>
      <c r="AN16" s="234"/>
      <c r="AO16" s="234"/>
      <c r="AP16" s="234"/>
      <c r="AQ16" s="234"/>
    </row>
    <row r="17" spans="1:43" ht="43.5" customHeight="1" x14ac:dyDescent="0.35">
      <c r="A17" s="238" t="s">
        <v>198</v>
      </c>
      <c r="B17" s="239">
        <f>SUM(B8:B15)</f>
        <v>7072.8560000000007</v>
      </c>
      <c r="C17" s="239">
        <f>SUM(C8:C15)</f>
        <v>7411.009</v>
      </c>
      <c r="D17" s="114">
        <f t="shared" si="4"/>
        <v>7892.7245849999999</v>
      </c>
      <c r="E17" s="114">
        <f t="shared" si="5"/>
        <v>8279.4680896650007</v>
      </c>
      <c r="F17" s="114">
        <f t="shared" ref="F17" si="13">SUM(C17*104.5%)</f>
        <v>7744.5044049999997</v>
      </c>
      <c r="G17" s="114">
        <f t="shared" si="7"/>
        <v>8054.2845811999996</v>
      </c>
      <c r="H17" s="239">
        <v>3445.779</v>
      </c>
      <c r="I17" s="239">
        <v>3604.3530000000001</v>
      </c>
      <c r="J17" s="115">
        <f>SUM(I17*98.5%)</f>
        <v>3550.2877050000002</v>
      </c>
      <c r="K17" s="115">
        <f>SUM(J17*101.2%)</f>
        <v>3592.8911574600002</v>
      </c>
      <c r="L17" s="115">
        <f>SUM(K17*101.3%)</f>
        <v>3639.5987425069798</v>
      </c>
      <c r="M17" s="115">
        <f>SUM(L17*100%)</f>
        <v>3639.5987425069798</v>
      </c>
      <c r="N17" s="240">
        <v>13330</v>
      </c>
      <c r="O17" s="241">
        <v>13229</v>
      </c>
      <c r="P17" s="116">
        <f t="shared" si="0"/>
        <v>13189.313</v>
      </c>
      <c r="Q17" s="117">
        <f t="shared" si="1"/>
        <v>13110.177122000001</v>
      </c>
      <c r="R17" s="117">
        <f t="shared" si="12"/>
        <v>13123.366435</v>
      </c>
      <c r="S17" s="117">
        <f t="shared" si="3"/>
        <v>13031.502869955</v>
      </c>
      <c r="T17" s="242">
        <v>296</v>
      </c>
      <c r="U17" s="242">
        <v>296</v>
      </c>
      <c r="V17" s="231"/>
      <c r="W17" s="231"/>
      <c r="X17" s="234">
        <v>573</v>
      </c>
      <c r="Y17" s="234">
        <v>50</v>
      </c>
      <c r="Z17" s="234">
        <v>28</v>
      </c>
      <c r="AA17" s="234">
        <v>3</v>
      </c>
      <c r="AB17" s="234">
        <v>35</v>
      </c>
      <c r="AC17" s="234">
        <v>114</v>
      </c>
      <c r="AD17" s="234">
        <v>76</v>
      </c>
      <c r="AE17" s="234">
        <v>267</v>
      </c>
      <c r="AF17" s="233">
        <f>SUM(AF8:AF15)</f>
        <v>1075</v>
      </c>
      <c r="AG17" s="233">
        <f t="shared" ref="AG17:AK17" si="14">SUM(AG8:AG15)</f>
        <v>929</v>
      </c>
      <c r="AH17" s="233">
        <f t="shared" si="14"/>
        <v>22</v>
      </c>
      <c r="AI17" s="233">
        <f t="shared" si="14"/>
        <v>22</v>
      </c>
      <c r="AJ17" s="233">
        <f t="shared" si="14"/>
        <v>331</v>
      </c>
      <c r="AK17" s="233">
        <f t="shared" si="14"/>
        <v>290</v>
      </c>
      <c r="AL17" s="234">
        <v>69</v>
      </c>
      <c r="AM17" s="234">
        <f>SUM(AM8:AM15)</f>
        <v>12</v>
      </c>
      <c r="AN17" s="234">
        <f>SUM(AN8:AN15)</f>
        <v>16</v>
      </c>
      <c r="AO17" s="234">
        <f>SUM(AO8:AO15)</f>
        <v>6</v>
      </c>
      <c r="AP17" s="234">
        <v>0</v>
      </c>
      <c r="AQ17" s="234">
        <f>SUM(AQ8:AQ15)</f>
        <v>12</v>
      </c>
    </row>
    <row r="18" spans="1:43" ht="18.75" x14ac:dyDescent="0.2">
      <c r="A18" s="89"/>
      <c r="B18" s="90"/>
      <c r="C18" s="91"/>
      <c r="D18" s="91"/>
      <c r="E18" s="91"/>
      <c r="F18" s="91"/>
      <c r="G18" s="91"/>
      <c r="H18" s="90"/>
      <c r="I18" s="91"/>
      <c r="J18" s="91"/>
      <c r="K18" s="91"/>
      <c r="L18" s="91"/>
      <c r="M18" s="91"/>
      <c r="N18" s="90"/>
      <c r="O18" s="91"/>
      <c r="P18" s="91"/>
      <c r="Q18" s="91"/>
      <c r="R18" s="91"/>
      <c r="S18" s="91"/>
    </row>
    <row r="19" spans="1:43" ht="56.25" customHeight="1" x14ac:dyDescent="0.2">
      <c r="B19" s="391" t="s">
        <v>197</v>
      </c>
      <c r="C19" s="391"/>
      <c r="D19" s="391"/>
      <c r="E19" s="391"/>
      <c r="F19" s="391"/>
      <c r="G19" s="391"/>
      <c r="H19" s="391"/>
      <c r="I19" s="391"/>
      <c r="J19" s="391"/>
      <c r="K19" s="391"/>
      <c r="L19" s="391"/>
      <c r="M19" s="391"/>
      <c r="N19" s="391"/>
      <c r="O19" s="391"/>
      <c r="P19" s="391"/>
      <c r="Q19" s="391"/>
      <c r="R19" s="391"/>
      <c r="S19" s="391"/>
      <c r="T19" s="391"/>
      <c r="U19" s="391"/>
      <c r="X19" s="391" t="s">
        <v>197</v>
      </c>
      <c r="Y19" s="391"/>
      <c r="Z19" s="391"/>
      <c r="AA19" s="391"/>
      <c r="AB19" s="391"/>
      <c r="AC19" s="391"/>
      <c r="AD19" s="391"/>
      <c r="AE19" s="391"/>
      <c r="AF19" s="391"/>
      <c r="AG19" s="391"/>
      <c r="AH19" s="391"/>
      <c r="AI19" s="391"/>
      <c r="AJ19" s="391"/>
      <c r="AK19" s="391"/>
      <c r="AL19" s="391"/>
      <c r="AM19" s="391"/>
      <c r="AN19" s="391"/>
      <c r="AO19" s="391"/>
      <c r="AP19" s="391"/>
      <c r="AQ19" s="391"/>
    </row>
    <row r="20" spans="1:43" ht="18.75" x14ac:dyDescent="0.3">
      <c r="A20" s="18"/>
      <c r="B20" s="18"/>
      <c r="C20" s="18"/>
      <c r="D20" s="18"/>
      <c r="E20" s="18"/>
      <c r="F20" s="18"/>
      <c r="G20" s="18"/>
    </row>
    <row r="21" spans="1:43" ht="36.6" customHeight="1" x14ac:dyDescent="0.2"/>
    <row r="28" spans="1:43" ht="18.75" x14ac:dyDescent="0.2">
      <c r="AH28" s="377"/>
      <c r="AI28" s="378"/>
    </row>
  </sheetData>
  <mergeCells count="53">
    <mergeCell ref="X19:AQ19"/>
    <mergeCell ref="AH5:AI5"/>
    <mergeCell ref="K6:M6"/>
    <mergeCell ref="A4:A7"/>
    <mergeCell ref="B6:B7"/>
    <mergeCell ref="Z5:Z7"/>
    <mergeCell ref="B19:U19"/>
    <mergeCell ref="AK6:AK7"/>
    <mergeCell ref="AM4:AQ4"/>
    <mergeCell ref="AL4:AL7"/>
    <mergeCell ref="AG6:AG7"/>
    <mergeCell ref="AH6:AH7"/>
    <mergeCell ref="AJ5:AK5"/>
    <mergeCell ref="AM5:AM7"/>
    <mergeCell ref="AN5:AN7"/>
    <mergeCell ref="AO5:AO7"/>
    <mergeCell ref="E1:G1"/>
    <mergeCell ref="E6:G6"/>
    <mergeCell ref="D6:D7"/>
    <mergeCell ref="C6:C7"/>
    <mergeCell ref="V4:W5"/>
    <mergeCell ref="V6:V7"/>
    <mergeCell ref="W6:W7"/>
    <mergeCell ref="A2:W2"/>
    <mergeCell ref="N4:S5"/>
    <mergeCell ref="Q6:S6"/>
    <mergeCell ref="N6:N7"/>
    <mergeCell ref="O6:O7"/>
    <mergeCell ref="P6:P7"/>
    <mergeCell ref="H6:H7"/>
    <mergeCell ref="I6:I7"/>
    <mergeCell ref="J6:J7"/>
    <mergeCell ref="AH28:AI28"/>
    <mergeCell ref="B4:G5"/>
    <mergeCell ref="T4:U5"/>
    <mergeCell ref="AF5:AG5"/>
    <mergeCell ref="AJ6:AJ7"/>
    <mergeCell ref="Y4:AE4"/>
    <mergeCell ref="Y5:Y7"/>
    <mergeCell ref="X4:X7"/>
    <mergeCell ref="AA5:AA7"/>
    <mergeCell ref="AB5:AB7"/>
    <mergeCell ref="AC5:AC7"/>
    <mergeCell ref="AD5:AD7"/>
    <mergeCell ref="AE5:AE7"/>
    <mergeCell ref="H4:M5"/>
    <mergeCell ref="AF4:AK4"/>
    <mergeCell ref="AF6:AF7"/>
    <mergeCell ref="AP5:AP7"/>
    <mergeCell ref="AQ5:AQ7"/>
    <mergeCell ref="U6:U7"/>
    <mergeCell ref="T6:T7"/>
    <mergeCell ref="AI6:AI7"/>
  </mergeCells>
  <phoneticPr fontId="14" type="noConversion"/>
  <printOptions horizontalCentered="1"/>
  <pageMargins left="0" right="0" top="0.39370078740157483" bottom="0.19685039370078741" header="0" footer="0"/>
  <pageSetup paperSize="9" scale="45" orientation="landscape" horizontalDpi="300" verticalDpi="300" r:id="rId1"/>
  <headerFooter alignWithMargins="0"/>
  <colBreaks count="1" manualBreakCount="1">
    <brk id="23" max="1048575" man="1"/>
  </colBreak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 enableFormatConditionsCalculation="0">
    <tabColor indexed="50"/>
    <pageSetUpPr fitToPage="1"/>
  </sheetPr>
  <dimension ref="A1:P148"/>
  <sheetViews>
    <sheetView tabSelected="1" view="pageBreakPreview" zoomScale="75" zoomScaleNormal="75" workbookViewId="0">
      <pane xSplit="5" ySplit="14" topLeftCell="G65" activePane="bottomRight" state="frozen"/>
      <selection pane="topRight" activeCell="F1" sqref="F1"/>
      <selection pane="bottomLeft" activeCell="A15" sqref="A15"/>
      <selection pane="bottomRight" activeCell="E89" sqref="E89:F89"/>
    </sheetView>
  </sheetViews>
  <sheetFormatPr defaultRowHeight="12.75" x14ac:dyDescent="0.2"/>
  <cols>
    <col min="1" max="1" width="5.5703125" customWidth="1"/>
    <col min="2" max="2" width="46.28515625" customWidth="1"/>
    <col min="3" max="3" width="22.7109375" customWidth="1"/>
    <col min="4" max="4" width="14.5703125" customWidth="1"/>
    <col min="5" max="5" width="19.28515625" customWidth="1"/>
    <col min="6" max="6" width="21.140625" customWidth="1"/>
    <col min="7" max="7" width="19.140625" customWidth="1"/>
    <col min="8" max="8" width="20.28515625" customWidth="1"/>
    <col min="9" max="12" width="16.85546875" customWidth="1"/>
    <col min="13" max="13" width="16.7109375" customWidth="1"/>
    <col min="14" max="14" width="23" customWidth="1"/>
  </cols>
  <sheetData>
    <row r="1" spans="1:16" ht="26.25" customHeight="1" x14ac:dyDescent="0.2">
      <c r="M1" s="434" t="s">
        <v>178</v>
      </c>
      <c r="N1" s="434"/>
      <c r="O1" s="35"/>
      <c r="P1" s="35"/>
    </row>
    <row r="3" spans="1:16" ht="72" customHeight="1" x14ac:dyDescent="0.2">
      <c r="A3" s="435" t="s">
        <v>318</v>
      </c>
      <c r="B3" s="435"/>
      <c r="C3" s="435"/>
      <c r="D3" s="436"/>
      <c r="E3" s="436"/>
      <c r="F3" s="436"/>
      <c r="G3" s="436"/>
      <c r="H3" s="436"/>
      <c r="I3" s="436"/>
      <c r="J3" s="436"/>
      <c r="K3" s="436"/>
      <c r="L3" s="436"/>
      <c r="M3" s="436"/>
      <c r="N3" s="436"/>
    </row>
    <row r="4" spans="1:16" ht="15" customHeight="1" x14ac:dyDescent="0.2">
      <c r="A4" s="68"/>
      <c r="B4" s="68"/>
      <c r="C4" s="68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</row>
    <row r="5" spans="1:16" ht="63" customHeight="1" x14ac:dyDescent="0.2">
      <c r="A5" s="439" t="s">
        <v>110</v>
      </c>
      <c r="B5" s="439" t="s">
        <v>167</v>
      </c>
      <c r="C5" s="439" t="s">
        <v>124</v>
      </c>
      <c r="D5" s="439" t="s">
        <v>125</v>
      </c>
      <c r="E5" s="439" t="s">
        <v>173</v>
      </c>
      <c r="F5" s="439"/>
      <c r="G5" s="439" t="s">
        <v>126</v>
      </c>
      <c r="H5" s="439" t="s">
        <v>127</v>
      </c>
      <c r="I5" s="439" t="s">
        <v>165</v>
      </c>
      <c r="J5" s="439"/>
      <c r="K5" s="439"/>
      <c r="L5" s="439"/>
      <c r="M5" s="437" t="s">
        <v>174</v>
      </c>
      <c r="N5" s="437" t="s">
        <v>166</v>
      </c>
    </row>
    <row r="6" spans="1:16" ht="46.5" customHeight="1" x14ac:dyDescent="0.2">
      <c r="A6" s="439"/>
      <c r="B6" s="439"/>
      <c r="C6" s="439"/>
      <c r="D6" s="439"/>
      <c r="E6" s="439"/>
      <c r="F6" s="439"/>
      <c r="G6" s="439"/>
      <c r="H6" s="439"/>
      <c r="I6" s="70" t="s">
        <v>169</v>
      </c>
      <c r="J6" s="70" t="s">
        <v>170</v>
      </c>
      <c r="K6" s="70" t="s">
        <v>171</v>
      </c>
      <c r="L6" s="70" t="s">
        <v>168</v>
      </c>
      <c r="M6" s="438"/>
      <c r="N6" s="438"/>
    </row>
    <row r="7" spans="1:16" ht="33" customHeight="1" x14ac:dyDescent="0.2">
      <c r="A7" s="398">
        <v>1</v>
      </c>
      <c r="B7" s="412" t="s">
        <v>285</v>
      </c>
      <c r="C7" s="402" t="s">
        <v>286</v>
      </c>
      <c r="D7" s="402" t="s">
        <v>287</v>
      </c>
      <c r="E7" s="407" t="s">
        <v>267</v>
      </c>
      <c r="F7" s="408"/>
      <c r="G7" s="120">
        <v>2926.9</v>
      </c>
      <c r="H7" s="120"/>
      <c r="I7" s="426" t="s">
        <v>288</v>
      </c>
      <c r="J7" s="120"/>
      <c r="K7" s="120"/>
      <c r="L7" s="120"/>
      <c r="M7" s="120"/>
      <c r="N7" s="120">
        <v>1065</v>
      </c>
    </row>
    <row r="8" spans="1:16" ht="12.75" customHeight="1" x14ac:dyDescent="0.2">
      <c r="A8" s="399"/>
      <c r="B8" s="413"/>
      <c r="C8" s="403"/>
      <c r="D8" s="405"/>
      <c r="E8" s="370">
        <v>2016</v>
      </c>
      <c r="F8" s="370">
        <v>2013</v>
      </c>
      <c r="G8" s="120">
        <v>2926.9</v>
      </c>
      <c r="H8" s="120"/>
      <c r="I8" s="427"/>
      <c r="J8" s="120"/>
      <c r="K8" s="120"/>
      <c r="L8" s="120"/>
      <c r="M8" s="120"/>
      <c r="N8" s="120">
        <v>1065</v>
      </c>
    </row>
    <row r="9" spans="1:16" ht="12.75" customHeight="1" x14ac:dyDescent="0.2">
      <c r="A9" s="399"/>
      <c r="B9" s="413"/>
      <c r="C9" s="403"/>
      <c r="D9" s="405"/>
      <c r="E9" s="370">
        <v>2017</v>
      </c>
      <c r="F9" s="370">
        <v>2014</v>
      </c>
      <c r="G9" s="120">
        <v>0</v>
      </c>
      <c r="H9" s="120"/>
      <c r="I9" s="427"/>
      <c r="J9" s="120"/>
      <c r="K9" s="120"/>
      <c r="L9" s="120"/>
      <c r="M9" s="120"/>
      <c r="N9" s="120"/>
    </row>
    <row r="10" spans="1:16" ht="12.75" customHeight="1" x14ac:dyDescent="0.2">
      <c r="A10" s="399"/>
      <c r="B10" s="413"/>
      <c r="C10" s="403"/>
      <c r="D10" s="405"/>
      <c r="E10" s="370">
        <v>2018</v>
      </c>
      <c r="F10" s="370">
        <v>2015</v>
      </c>
      <c r="G10" s="120">
        <v>0</v>
      </c>
      <c r="H10" s="120"/>
      <c r="I10" s="427"/>
      <c r="J10" s="120"/>
      <c r="K10" s="120"/>
      <c r="L10" s="120"/>
      <c r="M10" s="120"/>
      <c r="N10" s="120"/>
    </row>
    <row r="11" spans="1:16" ht="19.5" customHeight="1" x14ac:dyDescent="0.2">
      <c r="A11" s="400"/>
      <c r="B11" s="413"/>
      <c r="C11" s="404"/>
      <c r="D11" s="406"/>
      <c r="E11" s="370">
        <v>2019</v>
      </c>
      <c r="F11" s="370">
        <v>2016</v>
      </c>
      <c r="G11" s="120">
        <v>0</v>
      </c>
      <c r="H11" s="120"/>
      <c r="I11" s="428"/>
      <c r="J11" s="120"/>
      <c r="K11" s="120"/>
      <c r="L11" s="120"/>
      <c r="M11" s="120"/>
      <c r="N11" s="120"/>
    </row>
    <row r="12" spans="1:16" s="104" customFormat="1" ht="33" customHeight="1" x14ac:dyDescent="0.2">
      <c r="A12" s="398">
        <v>2</v>
      </c>
      <c r="B12" s="413"/>
      <c r="C12" s="402" t="s">
        <v>289</v>
      </c>
      <c r="D12" s="402" t="s">
        <v>290</v>
      </c>
      <c r="E12" s="407" t="s">
        <v>267</v>
      </c>
      <c r="F12" s="408"/>
      <c r="G12" s="120">
        <v>426.9</v>
      </c>
      <c r="H12" s="120"/>
      <c r="I12" s="421" t="s">
        <v>291</v>
      </c>
      <c r="J12" s="120"/>
      <c r="K12" s="120"/>
      <c r="L12" s="120"/>
      <c r="M12" s="120"/>
      <c r="N12" s="120">
        <v>115</v>
      </c>
    </row>
    <row r="13" spans="1:16" s="104" customFormat="1" ht="12.75" customHeight="1" x14ac:dyDescent="0.2">
      <c r="A13" s="399"/>
      <c r="B13" s="413"/>
      <c r="C13" s="405"/>
      <c r="D13" s="403"/>
      <c r="E13" s="370">
        <v>2016</v>
      </c>
      <c r="F13" s="370">
        <v>2013</v>
      </c>
      <c r="G13" s="120">
        <v>426.9</v>
      </c>
      <c r="H13" s="120"/>
      <c r="I13" s="422"/>
      <c r="J13" s="120"/>
      <c r="K13" s="120"/>
      <c r="L13" s="120"/>
      <c r="M13" s="120"/>
      <c r="N13" s="120">
        <v>115</v>
      </c>
    </row>
    <row r="14" spans="1:16" s="104" customFormat="1" ht="12.75" customHeight="1" x14ac:dyDescent="0.2">
      <c r="A14" s="399"/>
      <c r="B14" s="413"/>
      <c r="C14" s="405"/>
      <c r="D14" s="403"/>
      <c r="E14" s="370">
        <v>2017</v>
      </c>
      <c r="F14" s="370">
        <v>2014</v>
      </c>
      <c r="G14" s="120">
        <v>0</v>
      </c>
      <c r="H14" s="120"/>
      <c r="I14" s="422"/>
      <c r="J14" s="120"/>
      <c r="K14" s="120"/>
      <c r="L14" s="120"/>
      <c r="M14" s="120"/>
      <c r="N14" s="120"/>
    </row>
    <row r="15" spans="1:16" s="104" customFormat="1" ht="12.75" customHeight="1" x14ac:dyDescent="0.2">
      <c r="A15" s="399"/>
      <c r="B15" s="413"/>
      <c r="C15" s="405"/>
      <c r="D15" s="403"/>
      <c r="E15" s="370">
        <v>2018</v>
      </c>
      <c r="F15" s="370">
        <v>2015</v>
      </c>
      <c r="G15" s="120">
        <v>0</v>
      </c>
      <c r="H15" s="120"/>
      <c r="I15" s="422"/>
      <c r="J15" s="120"/>
      <c r="K15" s="120"/>
      <c r="L15" s="120"/>
      <c r="M15" s="120"/>
      <c r="N15" s="120"/>
    </row>
    <row r="16" spans="1:16" s="104" customFormat="1" ht="12.75" customHeight="1" x14ac:dyDescent="0.2">
      <c r="A16" s="400"/>
      <c r="B16" s="413"/>
      <c r="C16" s="406"/>
      <c r="D16" s="404"/>
      <c r="E16" s="370">
        <v>2019</v>
      </c>
      <c r="F16" s="370">
        <v>2016</v>
      </c>
      <c r="G16" s="120">
        <v>0</v>
      </c>
      <c r="H16" s="120"/>
      <c r="I16" s="423"/>
      <c r="J16" s="120"/>
      <c r="K16" s="120"/>
      <c r="L16" s="120"/>
      <c r="M16" s="120"/>
      <c r="N16" s="120"/>
    </row>
    <row r="17" spans="1:14" s="104" customFormat="1" ht="33" customHeight="1" x14ac:dyDescent="0.2">
      <c r="A17" s="398">
        <v>3</v>
      </c>
      <c r="B17" s="413"/>
      <c r="C17" s="402" t="s">
        <v>326</v>
      </c>
      <c r="D17" s="402" t="s">
        <v>292</v>
      </c>
      <c r="E17" s="407" t="s">
        <v>267</v>
      </c>
      <c r="F17" s="408"/>
      <c r="G17" s="120">
        <v>8</v>
      </c>
      <c r="H17" s="120">
        <v>430.5</v>
      </c>
      <c r="I17" s="122" t="s">
        <v>329</v>
      </c>
      <c r="J17" s="120"/>
      <c r="K17" s="120"/>
      <c r="L17" s="120"/>
      <c r="M17" s="120">
        <v>0.9</v>
      </c>
      <c r="N17" s="120">
        <v>0</v>
      </c>
    </row>
    <row r="18" spans="1:14" s="104" customFormat="1" ht="12.75" customHeight="1" x14ac:dyDescent="0.2">
      <c r="A18" s="399"/>
      <c r="B18" s="413"/>
      <c r="C18" s="405"/>
      <c r="D18" s="403"/>
      <c r="E18" s="370">
        <v>2016</v>
      </c>
      <c r="F18" s="370">
        <v>2013</v>
      </c>
      <c r="G18" s="120">
        <v>5.2</v>
      </c>
      <c r="H18" s="120">
        <v>195</v>
      </c>
      <c r="I18" s="122" t="s">
        <v>330</v>
      </c>
      <c r="J18" s="120"/>
      <c r="K18" s="120"/>
      <c r="L18" s="120"/>
      <c r="M18" s="120">
        <v>0.4</v>
      </c>
      <c r="N18" s="120"/>
    </row>
    <row r="19" spans="1:14" s="104" customFormat="1" ht="12.75" customHeight="1" x14ac:dyDescent="0.2">
      <c r="A19" s="399"/>
      <c r="B19" s="413"/>
      <c r="C19" s="405"/>
      <c r="D19" s="403"/>
      <c r="E19" s="370">
        <v>2017</v>
      </c>
      <c r="F19" s="370">
        <v>2014</v>
      </c>
      <c r="G19" s="120">
        <v>2.8</v>
      </c>
      <c r="H19" s="120">
        <v>235.5</v>
      </c>
      <c r="I19" s="122" t="s">
        <v>331</v>
      </c>
      <c r="J19" s="120"/>
      <c r="K19" s="120"/>
      <c r="L19" s="120"/>
      <c r="M19" s="120">
        <v>0.5</v>
      </c>
      <c r="N19" s="120"/>
    </row>
    <row r="20" spans="1:14" s="104" customFormat="1" ht="12.75" customHeight="1" x14ac:dyDescent="0.2">
      <c r="A20" s="399"/>
      <c r="B20" s="413"/>
      <c r="C20" s="405"/>
      <c r="D20" s="403"/>
      <c r="E20" s="370">
        <v>2018</v>
      </c>
      <c r="F20" s="370">
        <v>2015</v>
      </c>
      <c r="G20" s="120">
        <v>0</v>
      </c>
      <c r="H20" s="120"/>
      <c r="I20" s="122"/>
      <c r="J20" s="120"/>
      <c r="K20" s="120"/>
      <c r="L20" s="120"/>
      <c r="M20" s="120"/>
      <c r="N20" s="120"/>
    </row>
    <row r="21" spans="1:14" s="104" customFormat="1" ht="12.75" customHeight="1" x14ac:dyDescent="0.2">
      <c r="A21" s="400"/>
      <c r="B21" s="413"/>
      <c r="C21" s="406"/>
      <c r="D21" s="403"/>
      <c r="E21" s="370">
        <v>2019</v>
      </c>
      <c r="F21" s="370">
        <v>2016</v>
      </c>
      <c r="G21" s="120">
        <v>0</v>
      </c>
      <c r="H21" s="120"/>
      <c r="I21" s="122"/>
      <c r="J21" s="120"/>
      <c r="K21" s="120"/>
      <c r="L21" s="120"/>
      <c r="M21" s="120"/>
      <c r="N21" s="120"/>
    </row>
    <row r="22" spans="1:14" s="127" customFormat="1" ht="33" customHeight="1" x14ac:dyDescent="0.2">
      <c r="A22" s="398">
        <v>4</v>
      </c>
      <c r="B22" s="413"/>
      <c r="C22" s="402" t="s">
        <v>327</v>
      </c>
      <c r="D22" s="403"/>
      <c r="E22" s="407" t="s">
        <v>267</v>
      </c>
      <c r="F22" s="408"/>
      <c r="G22" s="120">
        <v>35</v>
      </c>
      <c r="H22" s="120">
        <v>329.55</v>
      </c>
      <c r="I22" s="122" t="s">
        <v>332</v>
      </c>
      <c r="J22" s="120"/>
      <c r="K22" s="120"/>
      <c r="L22" s="120"/>
      <c r="M22" s="120">
        <v>0.6</v>
      </c>
      <c r="N22" s="120">
        <v>5</v>
      </c>
    </row>
    <row r="23" spans="1:14" s="127" customFormat="1" ht="12.75" customHeight="1" x14ac:dyDescent="0.2">
      <c r="A23" s="399"/>
      <c r="B23" s="413"/>
      <c r="C23" s="405"/>
      <c r="D23" s="403"/>
      <c r="E23" s="370">
        <v>2016</v>
      </c>
      <c r="F23" s="370">
        <v>2013</v>
      </c>
      <c r="G23" s="120"/>
      <c r="H23" s="120"/>
      <c r="I23" s="122"/>
      <c r="J23" s="120"/>
      <c r="K23" s="120"/>
      <c r="L23" s="120"/>
      <c r="M23" s="120"/>
      <c r="N23" s="120"/>
    </row>
    <row r="24" spans="1:14" s="127" customFormat="1" ht="12.75" customHeight="1" x14ac:dyDescent="0.2">
      <c r="A24" s="399"/>
      <c r="B24" s="413"/>
      <c r="C24" s="405"/>
      <c r="D24" s="403"/>
      <c r="E24" s="370">
        <v>2017</v>
      </c>
      <c r="F24" s="370">
        <v>2014</v>
      </c>
      <c r="G24" s="120"/>
      <c r="H24" s="120"/>
      <c r="I24" s="122"/>
      <c r="J24" s="120"/>
      <c r="K24" s="120"/>
      <c r="L24" s="120"/>
      <c r="M24" s="120"/>
      <c r="N24" s="120"/>
    </row>
    <row r="25" spans="1:14" s="127" customFormat="1" ht="40.5" customHeight="1" x14ac:dyDescent="0.2">
      <c r="A25" s="399"/>
      <c r="B25" s="413"/>
      <c r="C25" s="405"/>
      <c r="D25" s="403"/>
      <c r="E25" s="370">
        <v>2018</v>
      </c>
      <c r="F25" s="370">
        <v>2015</v>
      </c>
      <c r="G25" s="120">
        <v>35</v>
      </c>
      <c r="H25" s="120">
        <v>329.5</v>
      </c>
      <c r="I25" s="122" t="s">
        <v>332</v>
      </c>
      <c r="J25" s="120"/>
      <c r="K25" s="120"/>
      <c r="L25" s="120"/>
      <c r="M25" s="120">
        <v>0.6</v>
      </c>
      <c r="N25" s="120">
        <v>5</v>
      </c>
    </row>
    <row r="26" spans="1:14" s="127" customFormat="1" ht="12.75" customHeight="1" x14ac:dyDescent="0.2">
      <c r="A26" s="400"/>
      <c r="B26" s="413"/>
      <c r="C26" s="406"/>
      <c r="D26" s="403"/>
      <c r="E26" s="370">
        <v>2019</v>
      </c>
      <c r="F26" s="370">
        <v>2016</v>
      </c>
      <c r="G26" s="120"/>
      <c r="H26" s="120"/>
      <c r="I26" s="122"/>
      <c r="J26" s="120"/>
      <c r="K26" s="120"/>
      <c r="L26" s="120"/>
      <c r="M26" s="120"/>
      <c r="N26" s="120"/>
    </row>
    <row r="27" spans="1:14" s="127" customFormat="1" ht="54" customHeight="1" x14ac:dyDescent="0.2">
      <c r="A27" s="398">
        <v>5</v>
      </c>
      <c r="B27" s="413"/>
      <c r="C27" s="402" t="s">
        <v>328</v>
      </c>
      <c r="D27" s="403"/>
      <c r="E27" s="407" t="s">
        <v>267</v>
      </c>
      <c r="F27" s="408"/>
      <c r="G27" s="120">
        <v>35</v>
      </c>
      <c r="H27" s="120">
        <v>350</v>
      </c>
      <c r="I27" s="250" t="s">
        <v>333</v>
      </c>
      <c r="J27" s="120"/>
      <c r="K27" s="120"/>
      <c r="L27" s="120"/>
      <c r="M27" s="120"/>
      <c r="N27" s="120">
        <v>16</v>
      </c>
    </row>
    <row r="28" spans="1:14" s="127" customFormat="1" ht="12.75" customHeight="1" x14ac:dyDescent="0.2">
      <c r="A28" s="399"/>
      <c r="B28" s="413"/>
      <c r="C28" s="405"/>
      <c r="D28" s="403"/>
      <c r="E28" s="370">
        <v>2016</v>
      </c>
      <c r="F28" s="370">
        <v>2013</v>
      </c>
      <c r="G28" s="120">
        <v>0</v>
      </c>
      <c r="H28" s="120"/>
      <c r="I28" s="122"/>
      <c r="J28" s="120"/>
      <c r="K28" s="120"/>
      <c r="L28" s="120"/>
      <c r="M28" s="120"/>
      <c r="N28" s="120"/>
    </row>
    <row r="29" spans="1:14" s="127" customFormat="1" ht="12.75" customHeight="1" x14ac:dyDescent="0.2">
      <c r="A29" s="399"/>
      <c r="B29" s="413"/>
      <c r="C29" s="405"/>
      <c r="D29" s="403"/>
      <c r="E29" s="370">
        <v>2017</v>
      </c>
      <c r="F29" s="370">
        <v>2014</v>
      </c>
      <c r="G29" s="120">
        <v>0</v>
      </c>
      <c r="H29" s="120"/>
      <c r="I29" s="122"/>
      <c r="J29" s="120"/>
      <c r="K29" s="120"/>
      <c r="L29" s="120"/>
      <c r="M29" s="120"/>
      <c r="N29" s="120"/>
    </row>
    <row r="30" spans="1:14" s="127" customFormat="1" ht="12.75" customHeight="1" x14ac:dyDescent="0.2">
      <c r="A30" s="399"/>
      <c r="B30" s="413"/>
      <c r="C30" s="405"/>
      <c r="D30" s="403"/>
      <c r="E30" s="370">
        <v>2018</v>
      </c>
      <c r="F30" s="370">
        <v>2015</v>
      </c>
      <c r="G30" s="120">
        <v>0</v>
      </c>
      <c r="H30" s="120"/>
      <c r="I30" s="122"/>
      <c r="J30" s="120"/>
      <c r="K30" s="120"/>
      <c r="L30" s="120"/>
      <c r="M30" s="120"/>
      <c r="N30" s="120"/>
    </row>
    <row r="31" spans="1:14" s="127" customFormat="1" ht="47.25" customHeight="1" x14ac:dyDescent="0.2">
      <c r="A31" s="400"/>
      <c r="B31" s="413"/>
      <c r="C31" s="406"/>
      <c r="D31" s="404"/>
      <c r="E31" s="370">
        <v>2019</v>
      </c>
      <c r="F31" s="370">
        <v>2016</v>
      </c>
      <c r="G31" s="120">
        <v>35</v>
      </c>
      <c r="H31" s="120">
        <v>350</v>
      </c>
      <c r="I31" s="250" t="s">
        <v>334</v>
      </c>
      <c r="J31" s="120"/>
      <c r="K31" s="120"/>
      <c r="L31" s="120"/>
      <c r="M31" s="120"/>
      <c r="N31" s="120">
        <v>16</v>
      </c>
    </row>
    <row r="32" spans="1:14" s="104" customFormat="1" ht="50.25" customHeight="1" x14ac:dyDescent="0.25">
      <c r="A32" s="398">
        <v>6</v>
      </c>
      <c r="B32" s="413"/>
      <c r="C32" s="432" t="s">
        <v>340</v>
      </c>
      <c r="D32" s="432" t="s">
        <v>341</v>
      </c>
      <c r="E32" s="395" t="s">
        <v>267</v>
      </c>
      <c r="F32" s="396"/>
      <c r="G32" s="256">
        <f>SUM(G33:G36)</f>
        <v>50</v>
      </c>
      <c r="H32" s="256">
        <f>SUM(H33:H36)</f>
        <v>130</v>
      </c>
      <c r="I32" s="257" t="s">
        <v>342</v>
      </c>
      <c r="J32" s="257" t="s">
        <v>343</v>
      </c>
      <c r="K32" s="120"/>
      <c r="L32" s="120"/>
      <c r="M32" s="256">
        <f>SUM(M33:M36)</f>
        <v>0</v>
      </c>
      <c r="N32" s="256">
        <f>SUM(N33:N36)</f>
        <v>30</v>
      </c>
    </row>
    <row r="33" spans="1:14" s="104" customFormat="1" ht="12.75" customHeight="1" x14ac:dyDescent="0.25">
      <c r="A33" s="399"/>
      <c r="B33" s="413"/>
      <c r="C33" s="433"/>
      <c r="D33" s="433"/>
      <c r="E33" s="397">
        <v>2016</v>
      </c>
      <c r="F33" s="397">
        <v>2013</v>
      </c>
      <c r="G33" s="247">
        <v>2</v>
      </c>
      <c r="H33" s="247">
        <v>25</v>
      </c>
      <c r="I33" s="252">
        <v>9</v>
      </c>
      <c r="J33" s="120">
        <v>360</v>
      </c>
      <c r="K33" s="120"/>
      <c r="L33" s="120"/>
      <c r="M33" s="247">
        <f>C33*0.15</f>
        <v>0</v>
      </c>
      <c r="N33" s="247">
        <v>5</v>
      </c>
    </row>
    <row r="34" spans="1:14" s="104" customFormat="1" ht="12.75" customHeight="1" x14ac:dyDescent="0.25">
      <c r="A34" s="399"/>
      <c r="B34" s="413"/>
      <c r="C34" s="433"/>
      <c r="D34" s="433"/>
      <c r="E34" s="397">
        <v>2017</v>
      </c>
      <c r="F34" s="397">
        <v>2014</v>
      </c>
      <c r="G34" s="247">
        <v>8</v>
      </c>
      <c r="H34" s="247">
        <v>30</v>
      </c>
      <c r="I34" s="252">
        <v>12</v>
      </c>
      <c r="J34" s="120">
        <v>500</v>
      </c>
      <c r="K34" s="120"/>
      <c r="L34" s="120"/>
      <c r="M34" s="247">
        <f>C34*0.15</f>
        <v>0</v>
      </c>
      <c r="N34" s="247">
        <v>5</v>
      </c>
    </row>
    <row r="35" spans="1:14" s="104" customFormat="1" ht="12.75" customHeight="1" x14ac:dyDescent="0.25">
      <c r="A35" s="399"/>
      <c r="B35" s="413"/>
      <c r="C35" s="433"/>
      <c r="D35" s="433"/>
      <c r="E35" s="397">
        <v>2018</v>
      </c>
      <c r="F35" s="397">
        <v>2015</v>
      </c>
      <c r="G35" s="247">
        <v>18</v>
      </c>
      <c r="H35" s="247">
        <v>35</v>
      </c>
      <c r="I35" s="252">
        <v>18</v>
      </c>
      <c r="J35" s="120">
        <v>500</v>
      </c>
      <c r="K35" s="120"/>
      <c r="L35" s="120"/>
      <c r="M35" s="247">
        <f>C35*0.15</f>
        <v>0</v>
      </c>
      <c r="N35" s="247">
        <v>10</v>
      </c>
    </row>
    <row r="36" spans="1:14" s="104" customFormat="1" ht="12.75" customHeight="1" x14ac:dyDescent="0.25">
      <c r="A36" s="400"/>
      <c r="B36" s="413"/>
      <c r="C36" s="433"/>
      <c r="D36" s="443"/>
      <c r="E36" s="397">
        <v>2019</v>
      </c>
      <c r="F36" s="397">
        <v>2016</v>
      </c>
      <c r="G36" s="247">
        <v>22</v>
      </c>
      <c r="H36" s="247">
        <v>40</v>
      </c>
      <c r="I36" s="252">
        <v>22</v>
      </c>
      <c r="J36" s="120">
        <v>600</v>
      </c>
      <c r="K36" s="120"/>
      <c r="L36" s="120"/>
      <c r="M36" s="247">
        <f>C36*0.15</f>
        <v>0</v>
      </c>
      <c r="N36" s="247">
        <v>10</v>
      </c>
    </row>
    <row r="37" spans="1:14" s="104" customFormat="1" ht="33" customHeight="1" x14ac:dyDescent="0.2">
      <c r="A37" s="398">
        <v>7</v>
      </c>
      <c r="B37" s="413"/>
      <c r="C37" s="402" t="s">
        <v>293</v>
      </c>
      <c r="D37" s="402" t="s">
        <v>294</v>
      </c>
      <c r="E37" s="407" t="s">
        <v>267</v>
      </c>
      <c r="F37" s="408"/>
      <c r="G37" s="120">
        <v>5248</v>
      </c>
      <c r="H37" s="120"/>
      <c r="I37" s="421" t="s">
        <v>295</v>
      </c>
      <c r="J37" s="120"/>
      <c r="K37" s="120"/>
      <c r="L37" s="120"/>
      <c r="M37" s="120"/>
      <c r="N37" s="120">
        <v>190</v>
      </c>
    </row>
    <row r="38" spans="1:14" s="104" customFormat="1" ht="12.75" customHeight="1" x14ac:dyDescent="0.2">
      <c r="A38" s="399"/>
      <c r="B38" s="413"/>
      <c r="C38" s="403"/>
      <c r="D38" s="403"/>
      <c r="E38" s="370">
        <v>2016</v>
      </c>
      <c r="F38" s="370">
        <v>2013</v>
      </c>
      <c r="G38" s="120">
        <v>5248</v>
      </c>
      <c r="H38" s="120"/>
      <c r="I38" s="424"/>
      <c r="J38" s="120"/>
      <c r="K38" s="120"/>
      <c r="L38" s="120"/>
      <c r="M38" s="120"/>
      <c r="N38" s="120">
        <v>190</v>
      </c>
    </row>
    <row r="39" spans="1:14" s="104" customFormat="1" ht="12.75" customHeight="1" x14ac:dyDescent="0.2">
      <c r="A39" s="399"/>
      <c r="B39" s="413"/>
      <c r="C39" s="403"/>
      <c r="D39" s="403"/>
      <c r="E39" s="370">
        <v>2017</v>
      </c>
      <c r="F39" s="370">
        <v>2014</v>
      </c>
      <c r="G39" s="120"/>
      <c r="H39" s="120"/>
      <c r="I39" s="424"/>
      <c r="J39" s="120"/>
      <c r="K39" s="120"/>
      <c r="L39" s="120"/>
      <c r="M39" s="120"/>
      <c r="N39" s="120"/>
    </row>
    <row r="40" spans="1:14" s="104" customFormat="1" ht="12.75" customHeight="1" x14ac:dyDescent="0.2">
      <c r="A40" s="399"/>
      <c r="B40" s="413"/>
      <c r="C40" s="403"/>
      <c r="D40" s="403"/>
      <c r="E40" s="370">
        <v>2018</v>
      </c>
      <c r="F40" s="370">
        <v>2015</v>
      </c>
      <c r="G40" s="120"/>
      <c r="H40" s="120"/>
      <c r="I40" s="424"/>
      <c r="J40" s="120"/>
      <c r="K40" s="120"/>
      <c r="L40" s="120"/>
      <c r="M40" s="120"/>
      <c r="N40" s="120"/>
    </row>
    <row r="41" spans="1:14" s="104" customFormat="1" ht="12.75" customHeight="1" x14ac:dyDescent="0.2">
      <c r="A41" s="400"/>
      <c r="B41" s="413"/>
      <c r="C41" s="404"/>
      <c r="D41" s="404"/>
      <c r="E41" s="370">
        <v>2019</v>
      </c>
      <c r="F41" s="370">
        <v>2016</v>
      </c>
      <c r="G41" s="120"/>
      <c r="H41" s="120"/>
      <c r="I41" s="425"/>
      <c r="J41" s="120"/>
      <c r="K41" s="120"/>
      <c r="L41" s="120"/>
      <c r="M41" s="120"/>
      <c r="N41" s="120"/>
    </row>
    <row r="42" spans="1:14" s="104" customFormat="1" ht="33" customHeight="1" x14ac:dyDescent="0.25">
      <c r="A42" s="398">
        <v>8</v>
      </c>
      <c r="B42" s="413"/>
      <c r="C42" s="401" t="s">
        <v>344</v>
      </c>
      <c r="D42" s="402" t="s">
        <v>296</v>
      </c>
      <c r="E42" s="395" t="s">
        <v>267</v>
      </c>
      <c r="F42" s="396"/>
      <c r="G42" s="256">
        <f>SUM(G43:G46)</f>
        <v>4.5999999999999996</v>
      </c>
      <c r="H42" s="256">
        <f>SUM(H43:H46)</f>
        <v>4.2859999999999996</v>
      </c>
      <c r="I42" s="252" t="s">
        <v>348</v>
      </c>
      <c r="J42" s="120"/>
      <c r="K42" s="120"/>
      <c r="L42" s="120"/>
      <c r="M42" s="120">
        <v>1.5</v>
      </c>
      <c r="N42" s="120">
        <v>0</v>
      </c>
    </row>
    <row r="43" spans="1:14" s="104" customFormat="1" ht="12.75" customHeight="1" x14ac:dyDescent="0.25">
      <c r="A43" s="399"/>
      <c r="B43" s="413"/>
      <c r="C43" s="401"/>
      <c r="D43" s="403"/>
      <c r="E43" s="397">
        <v>2016</v>
      </c>
      <c r="F43" s="397">
        <v>2013</v>
      </c>
      <c r="G43" s="258">
        <v>4.5999999999999996</v>
      </c>
      <c r="H43" s="259">
        <v>1.069</v>
      </c>
      <c r="I43" s="252">
        <v>2611</v>
      </c>
      <c r="J43" s="120"/>
      <c r="K43" s="120"/>
      <c r="L43" s="120"/>
      <c r="M43" s="120">
        <v>1.5</v>
      </c>
      <c r="N43" s="120">
        <v>0</v>
      </c>
    </row>
    <row r="44" spans="1:14" s="104" customFormat="1" ht="12.75" customHeight="1" x14ac:dyDescent="0.25">
      <c r="A44" s="399"/>
      <c r="B44" s="413"/>
      <c r="C44" s="401"/>
      <c r="D44" s="403"/>
      <c r="E44" s="397">
        <v>2017</v>
      </c>
      <c r="F44" s="397">
        <v>2014</v>
      </c>
      <c r="G44" s="260">
        <v>0</v>
      </c>
      <c r="H44" s="261">
        <v>3.2170000000000001</v>
      </c>
      <c r="I44" s="252">
        <v>11866</v>
      </c>
      <c r="J44" s="120"/>
      <c r="K44" s="120"/>
      <c r="L44" s="120"/>
      <c r="M44" s="120"/>
      <c r="N44" s="120"/>
    </row>
    <row r="45" spans="1:14" s="104" customFormat="1" ht="12.75" customHeight="1" x14ac:dyDescent="0.25">
      <c r="A45" s="399"/>
      <c r="B45" s="413"/>
      <c r="C45" s="401"/>
      <c r="D45" s="403"/>
      <c r="E45" s="397">
        <v>2018</v>
      </c>
      <c r="F45" s="397">
        <v>2015</v>
      </c>
      <c r="G45" s="260">
        <v>0</v>
      </c>
      <c r="H45" s="261"/>
      <c r="I45" s="252"/>
      <c r="J45" s="120"/>
      <c r="K45" s="120"/>
      <c r="L45" s="120"/>
      <c r="M45" s="120"/>
      <c r="N45" s="120"/>
    </row>
    <row r="46" spans="1:14" s="104" customFormat="1" ht="12.75" customHeight="1" x14ac:dyDescent="0.25">
      <c r="A46" s="400"/>
      <c r="B46" s="413"/>
      <c r="C46" s="401"/>
      <c r="D46" s="403"/>
      <c r="E46" s="397">
        <v>2019</v>
      </c>
      <c r="F46" s="397">
        <v>2016</v>
      </c>
      <c r="G46" s="260">
        <v>0</v>
      </c>
      <c r="H46" s="261"/>
      <c r="I46" s="252"/>
      <c r="J46" s="120"/>
      <c r="K46" s="120"/>
      <c r="L46" s="120"/>
      <c r="M46" s="120"/>
      <c r="N46" s="120"/>
    </row>
    <row r="47" spans="1:14" s="127" customFormat="1" ht="33" customHeight="1" x14ac:dyDescent="0.25">
      <c r="A47" s="398">
        <v>9</v>
      </c>
      <c r="B47" s="413"/>
      <c r="C47" s="401" t="s">
        <v>345</v>
      </c>
      <c r="D47" s="403"/>
      <c r="E47" s="395" t="s">
        <v>267</v>
      </c>
      <c r="F47" s="396"/>
      <c r="G47" s="256">
        <f>SUM(G48:G51)</f>
        <v>500</v>
      </c>
      <c r="H47" s="256"/>
      <c r="I47" s="252"/>
      <c r="J47" s="120"/>
      <c r="K47" s="120"/>
      <c r="L47" s="120"/>
      <c r="M47" s="120"/>
      <c r="N47" s="120"/>
    </row>
    <row r="48" spans="1:14" s="127" customFormat="1" ht="12.75" customHeight="1" x14ac:dyDescent="0.25">
      <c r="A48" s="399"/>
      <c r="B48" s="413"/>
      <c r="C48" s="401"/>
      <c r="D48" s="403"/>
      <c r="E48" s="397">
        <v>2016</v>
      </c>
      <c r="F48" s="397">
        <v>2013</v>
      </c>
      <c r="G48" s="247"/>
      <c r="H48" s="247"/>
      <c r="I48" s="252"/>
      <c r="J48" s="120"/>
      <c r="K48" s="120"/>
      <c r="L48" s="120"/>
      <c r="M48" s="120"/>
      <c r="N48" s="120"/>
    </row>
    <row r="49" spans="1:14" s="127" customFormat="1" ht="12.75" customHeight="1" x14ac:dyDescent="0.25">
      <c r="A49" s="399"/>
      <c r="B49" s="413"/>
      <c r="C49" s="401"/>
      <c r="D49" s="403"/>
      <c r="E49" s="397">
        <v>2017</v>
      </c>
      <c r="F49" s="397">
        <v>2014</v>
      </c>
      <c r="G49" s="247"/>
      <c r="H49" s="247"/>
      <c r="I49" s="252"/>
      <c r="J49" s="120"/>
      <c r="K49" s="120"/>
      <c r="L49" s="120"/>
      <c r="M49" s="120"/>
      <c r="N49" s="120"/>
    </row>
    <row r="50" spans="1:14" s="127" customFormat="1" ht="12.75" customHeight="1" x14ac:dyDescent="0.25">
      <c r="A50" s="399"/>
      <c r="B50" s="413"/>
      <c r="C50" s="401"/>
      <c r="D50" s="403"/>
      <c r="E50" s="397">
        <v>2018</v>
      </c>
      <c r="F50" s="397">
        <v>2015</v>
      </c>
      <c r="G50" s="260">
        <v>250</v>
      </c>
      <c r="H50" s="247"/>
      <c r="I50" s="252"/>
      <c r="J50" s="120"/>
      <c r="K50" s="120"/>
      <c r="L50" s="120"/>
      <c r="M50" s="120"/>
      <c r="N50" s="120"/>
    </row>
    <row r="51" spans="1:14" s="127" customFormat="1" ht="12.75" customHeight="1" x14ac:dyDescent="0.25">
      <c r="A51" s="400"/>
      <c r="B51" s="413"/>
      <c r="C51" s="401"/>
      <c r="D51" s="403"/>
      <c r="E51" s="397">
        <v>2019</v>
      </c>
      <c r="F51" s="397">
        <v>2016</v>
      </c>
      <c r="G51" s="260">
        <v>250</v>
      </c>
      <c r="H51" s="247"/>
      <c r="I51" s="252"/>
      <c r="J51" s="120"/>
      <c r="K51" s="120"/>
      <c r="L51" s="120"/>
      <c r="M51" s="120"/>
      <c r="N51" s="120"/>
    </row>
    <row r="52" spans="1:14" s="127" customFormat="1" ht="33" customHeight="1" x14ac:dyDescent="0.25">
      <c r="A52" s="398">
        <v>10</v>
      </c>
      <c r="B52" s="413"/>
      <c r="C52" s="401" t="s">
        <v>346</v>
      </c>
      <c r="D52" s="403"/>
      <c r="E52" s="395" t="s">
        <v>267</v>
      </c>
      <c r="F52" s="396"/>
      <c r="G52" s="256">
        <f>SUM(G53:G56)</f>
        <v>30</v>
      </c>
      <c r="H52" s="256"/>
      <c r="I52" s="252"/>
      <c r="J52" s="120"/>
      <c r="K52" s="120"/>
      <c r="L52" s="120"/>
      <c r="M52" s="120"/>
      <c r="N52" s="120"/>
    </row>
    <row r="53" spans="1:14" s="127" customFormat="1" ht="12.75" customHeight="1" x14ac:dyDescent="0.25">
      <c r="A53" s="399"/>
      <c r="B53" s="413"/>
      <c r="C53" s="401"/>
      <c r="D53" s="403"/>
      <c r="E53" s="397">
        <v>2016</v>
      </c>
      <c r="F53" s="397">
        <v>2013</v>
      </c>
      <c r="G53" s="247"/>
      <c r="H53" s="247"/>
      <c r="I53" s="252"/>
      <c r="J53" s="120"/>
      <c r="K53" s="120"/>
      <c r="L53" s="120"/>
      <c r="M53" s="120"/>
      <c r="N53" s="120"/>
    </row>
    <row r="54" spans="1:14" s="127" customFormat="1" ht="12.75" customHeight="1" x14ac:dyDescent="0.25">
      <c r="A54" s="399"/>
      <c r="B54" s="413"/>
      <c r="C54" s="401"/>
      <c r="D54" s="403"/>
      <c r="E54" s="397">
        <v>2017</v>
      </c>
      <c r="F54" s="397">
        <v>2014</v>
      </c>
      <c r="G54" s="260">
        <v>30</v>
      </c>
      <c r="H54" s="247"/>
      <c r="I54" s="252"/>
      <c r="J54" s="120"/>
      <c r="K54" s="120"/>
      <c r="L54" s="120"/>
      <c r="M54" s="120"/>
      <c r="N54" s="120"/>
    </row>
    <row r="55" spans="1:14" s="127" customFormat="1" ht="12.75" customHeight="1" x14ac:dyDescent="0.25">
      <c r="A55" s="399"/>
      <c r="B55" s="413"/>
      <c r="C55" s="401"/>
      <c r="D55" s="403"/>
      <c r="E55" s="397">
        <v>2018</v>
      </c>
      <c r="F55" s="397">
        <v>2015</v>
      </c>
      <c r="G55" s="247"/>
      <c r="H55" s="247"/>
      <c r="I55" s="252"/>
      <c r="J55" s="120"/>
      <c r="K55" s="120"/>
      <c r="L55" s="120"/>
      <c r="M55" s="120"/>
      <c r="N55" s="120"/>
    </row>
    <row r="56" spans="1:14" s="127" customFormat="1" ht="12.75" customHeight="1" x14ac:dyDescent="0.25">
      <c r="A56" s="400"/>
      <c r="B56" s="413"/>
      <c r="C56" s="401"/>
      <c r="D56" s="404"/>
      <c r="E56" s="397">
        <v>2019</v>
      </c>
      <c r="F56" s="397">
        <v>2016</v>
      </c>
      <c r="G56" s="247"/>
      <c r="H56" s="247"/>
      <c r="I56" s="252"/>
      <c r="J56" s="120"/>
      <c r="K56" s="120"/>
      <c r="L56" s="120"/>
      <c r="M56" s="120"/>
      <c r="N56" s="120"/>
    </row>
    <row r="57" spans="1:14" s="104" customFormat="1" ht="33" customHeight="1" x14ac:dyDescent="0.2">
      <c r="A57" s="398">
        <v>11</v>
      </c>
      <c r="B57" s="413"/>
      <c r="C57" s="402" t="s">
        <v>297</v>
      </c>
      <c r="D57" s="402" t="s">
        <v>298</v>
      </c>
      <c r="E57" s="407" t="s">
        <v>267</v>
      </c>
      <c r="F57" s="408"/>
      <c r="G57" s="120">
        <v>43</v>
      </c>
      <c r="H57" s="120"/>
      <c r="I57" s="421" t="s">
        <v>299</v>
      </c>
      <c r="J57" s="120"/>
      <c r="K57" s="120"/>
      <c r="L57" s="120"/>
      <c r="M57" s="120"/>
      <c r="N57" s="120"/>
    </row>
    <row r="58" spans="1:14" s="104" customFormat="1" ht="12.75" customHeight="1" x14ac:dyDescent="0.2">
      <c r="A58" s="399"/>
      <c r="B58" s="413"/>
      <c r="C58" s="403"/>
      <c r="D58" s="403"/>
      <c r="E58" s="370">
        <v>2016</v>
      </c>
      <c r="F58" s="370">
        <v>2013</v>
      </c>
      <c r="G58" s="120">
        <v>43</v>
      </c>
      <c r="H58" s="120"/>
      <c r="I58" s="424"/>
      <c r="J58" s="120"/>
      <c r="K58" s="120"/>
      <c r="L58" s="120"/>
      <c r="M58" s="120"/>
      <c r="N58" s="120"/>
    </row>
    <row r="59" spans="1:14" s="104" customFormat="1" ht="12.75" customHeight="1" x14ac:dyDescent="0.2">
      <c r="A59" s="399"/>
      <c r="B59" s="413"/>
      <c r="C59" s="403"/>
      <c r="D59" s="403"/>
      <c r="E59" s="370">
        <v>2017</v>
      </c>
      <c r="F59" s="370">
        <v>2014</v>
      </c>
      <c r="G59" s="120"/>
      <c r="H59" s="120"/>
      <c r="I59" s="424"/>
      <c r="J59" s="120"/>
      <c r="K59" s="120"/>
      <c r="L59" s="120"/>
      <c r="M59" s="120"/>
      <c r="N59" s="120"/>
    </row>
    <row r="60" spans="1:14" s="104" customFormat="1" ht="12.75" customHeight="1" x14ac:dyDescent="0.2">
      <c r="A60" s="399"/>
      <c r="B60" s="413"/>
      <c r="C60" s="403"/>
      <c r="D60" s="403"/>
      <c r="E60" s="370">
        <v>2018</v>
      </c>
      <c r="F60" s="370">
        <v>2015</v>
      </c>
      <c r="G60" s="120"/>
      <c r="H60" s="120"/>
      <c r="I60" s="424"/>
      <c r="J60" s="120"/>
      <c r="K60" s="120"/>
      <c r="L60" s="120"/>
      <c r="M60" s="120"/>
      <c r="N60" s="120"/>
    </row>
    <row r="61" spans="1:14" s="104" customFormat="1" ht="12.75" customHeight="1" x14ac:dyDescent="0.2">
      <c r="A61" s="400"/>
      <c r="B61" s="413"/>
      <c r="C61" s="404"/>
      <c r="D61" s="404"/>
      <c r="E61" s="370">
        <v>2019</v>
      </c>
      <c r="F61" s="370">
        <v>2016</v>
      </c>
      <c r="G61" s="120"/>
      <c r="H61" s="120"/>
      <c r="I61" s="425"/>
      <c r="J61" s="120"/>
      <c r="K61" s="120"/>
      <c r="L61" s="120"/>
      <c r="M61" s="120"/>
      <c r="N61" s="120"/>
    </row>
    <row r="62" spans="1:14" s="104" customFormat="1" ht="33" customHeight="1" x14ac:dyDescent="0.2">
      <c r="A62" s="398">
        <v>12</v>
      </c>
      <c r="B62" s="413"/>
      <c r="C62" s="402" t="s">
        <v>300</v>
      </c>
      <c r="D62" s="402" t="s">
        <v>301</v>
      </c>
      <c r="E62" s="407" t="s">
        <v>267</v>
      </c>
      <c r="F62" s="408"/>
      <c r="G62" s="120">
        <v>7</v>
      </c>
      <c r="H62" s="120"/>
      <c r="I62" s="421" t="s">
        <v>302</v>
      </c>
      <c r="J62" s="120"/>
      <c r="K62" s="120"/>
      <c r="L62" s="120"/>
      <c r="M62" s="120"/>
      <c r="N62" s="120">
        <v>30</v>
      </c>
    </row>
    <row r="63" spans="1:14" s="104" customFormat="1" ht="12.75" customHeight="1" x14ac:dyDescent="0.2">
      <c r="A63" s="399"/>
      <c r="B63" s="413"/>
      <c r="C63" s="403"/>
      <c r="D63" s="403"/>
      <c r="E63" s="370">
        <v>2016</v>
      </c>
      <c r="F63" s="370">
        <v>2013</v>
      </c>
      <c r="G63" s="120">
        <v>7</v>
      </c>
      <c r="H63" s="120"/>
      <c r="I63" s="424"/>
      <c r="J63" s="120"/>
      <c r="K63" s="120"/>
      <c r="L63" s="120"/>
      <c r="M63" s="120"/>
      <c r="N63" s="120">
        <v>30</v>
      </c>
    </row>
    <row r="64" spans="1:14" s="104" customFormat="1" ht="12.75" customHeight="1" x14ac:dyDescent="0.2">
      <c r="A64" s="399"/>
      <c r="B64" s="413"/>
      <c r="C64" s="403"/>
      <c r="D64" s="403"/>
      <c r="E64" s="370">
        <v>2017</v>
      </c>
      <c r="F64" s="370">
        <v>2014</v>
      </c>
      <c r="G64" s="120"/>
      <c r="H64" s="120"/>
      <c r="I64" s="424"/>
      <c r="J64" s="120"/>
      <c r="K64" s="120"/>
      <c r="L64" s="120"/>
      <c r="M64" s="120"/>
      <c r="N64" s="120"/>
    </row>
    <row r="65" spans="1:14" s="104" customFormat="1" ht="12.75" customHeight="1" x14ac:dyDescent="0.2">
      <c r="A65" s="399"/>
      <c r="B65" s="413"/>
      <c r="C65" s="403"/>
      <c r="D65" s="403"/>
      <c r="E65" s="370">
        <v>2018</v>
      </c>
      <c r="F65" s="370">
        <v>2015</v>
      </c>
      <c r="G65" s="120"/>
      <c r="H65" s="120"/>
      <c r="I65" s="424"/>
      <c r="J65" s="120"/>
      <c r="K65" s="120"/>
      <c r="L65" s="120"/>
      <c r="M65" s="120"/>
      <c r="N65" s="120"/>
    </row>
    <row r="66" spans="1:14" s="104" customFormat="1" ht="12.75" customHeight="1" x14ac:dyDescent="0.2">
      <c r="A66" s="400"/>
      <c r="B66" s="413"/>
      <c r="C66" s="404"/>
      <c r="D66" s="404"/>
      <c r="E66" s="370">
        <v>2019</v>
      </c>
      <c r="F66" s="370">
        <v>2016</v>
      </c>
      <c r="G66" s="120"/>
      <c r="H66" s="120"/>
      <c r="I66" s="425"/>
      <c r="J66" s="120"/>
      <c r="K66" s="120"/>
      <c r="L66" s="120"/>
      <c r="M66" s="120"/>
      <c r="N66" s="120"/>
    </row>
    <row r="67" spans="1:14" s="127" customFormat="1" ht="33" customHeight="1" x14ac:dyDescent="0.25">
      <c r="A67" s="398">
        <v>13</v>
      </c>
      <c r="B67" s="413"/>
      <c r="C67" s="432" t="s">
        <v>335</v>
      </c>
      <c r="D67" s="432" t="s">
        <v>283</v>
      </c>
      <c r="E67" s="407" t="s">
        <v>267</v>
      </c>
      <c r="F67" s="408"/>
      <c r="G67" s="245">
        <f>SUM(G68:G71)</f>
        <v>25</v>
      </c>
      <c r="H67" s="245">
        <f t="shared" ref="H67" si="0">SUM(H68:H71)</f>
        <v>158</v>
      </c>
      <c r="I67" s="252" t="s">
        <v>339</v>
      </c>
      <c r="J67" s="120"/>
      <c r="K67" s="120"/>
      <c r="L67" s="120"/>
      <c r="M67" s="245">
        <f t="shared" ref="M67:N67" si="1">SUM(M68:M71)</f>
        <v>0.30000000000000004</v>
      </c>
      <c r="N67" s="245">
        <f t="shared" si="1"/>
        <v>13</v>
      </c>
    </row>
    <row r="68" spans="1:14" s="127" customFormat="1" ht="12.75" customHeight="1" x14ac:dyDescent="0.25">
      <c r="A68" s="399"/>
      <c r="B68" s="413"/>
      <c r="C68" s="433"/>
      <c r="D68" s="433"/>
      <c r="E68" s="370">
        <v>2016</v>
      </c>
      <c r="F68" s="370">
        <v>2013</v>
      </c>
      <c r="G68" s="251">
        <v>10</v>
      </c>
      <c r="H68" s="251">
        <v>35</v>
      </c>
      <c r="I68" s="252">
        <v>292</v>
      </c>
      <c r="J68" s="120"/>
      <c r="K68" s="120"/>
      <c r="L68" s="120"/>
      <c r="M68" s="251">
        <v>0</v>
      </c>
      <c r="N68" s="254">
        <v>0</v>
      </c>
    </row>
    <row r="69" spans="1:14" s="127" customFormat="1" ht="12.75" customHeight="1" x14ac:dyDescent="0.25">
      <c r="A69" s="399"/>
      <c r="B69" s="413"/>
      <c r="C69" s="433"/>
      <c r="D69" s="433"/>
      <c r="E69" s="370">
        <v>2017</v>
      </c>
      <c r="F69" s="370">
        <v>2014</v>
      </c>
      <c r="G69" s="248">
        <v>5</v>
      </c>
      <c r="H69" s="251">
        <v>36</v>
      </c>
      <c r="I69" s="252">
        <v>295</v>
      </c>
      <c r="J69" s="120"/>
      <c r="K69" s="120"/>
      <c r="L69" s="120"/>
      <c r="M69" s="248">
        <v>0.05</v>
      </c>
      <c r="N69" s="255">
        <v>3</v>
      </c>
    </row>
    <row r="70" spans="1:14" s="127" customFormat="1" ht="12.75" customHeight="1" x14ac:dyDescent="0.25">
      <c r="A70" s="399"/>
      <c r="B70" s="413"/>
      <c r="C70" s="433"/>
      <c r="D70" s="433"/>
      <c r="E70" s="370">
        <v>2018</v>
      </c>
      <c r="F70" s="370">
        <v>2015</v>
      </c>
      <c r="G70" s="248">
        <v>5</v>
      </c>
      <c r="H70" s="251">
        <v>42</v>
      </c>
      <c r="I70" s="252">
        <v>305</v>
      </c>
      <c r="J70" s="120"/>
      <c r="K70" s="120"/>
      <c r="L70" s="120"/>
      <c r="M70" s="248">
        <v>0.1</v>
      </c>
      <c r="N70" s="255">
        <v>5</v>
      </c>
    </row>
    <row r="71" spans="1:14" s="127" customFormat="1" ht="12.75" customHeight="1" x14ac:dyDescent="0.25">
      <c r="A71" s="400"/>
      <c r="B71" s="413"/>
      <c r="C71" s="443"/>
      <c r="D71" s="443"/>
      <c r="E71" s="370">
        <v>2019</v>
      </c>
      <c r="F71" s="370">
        <v>2016</v>
      </c>
      <c r="G71" s="248">
        <v>5</v>
      </c>
      <c r="H71" s="251">
        <v>45</v>
      </c>
      <c r="I71" s="252">
        <v>315</v>
      </c>
      <c r="J71" s="120"/>
      <c r="K71" s="120"/>
      <c r="L71" s="120"/>
      <c r="M71" s="248">
        <v>0.15</v>
      </c>
      <c r="N71" s="255">
        <v>5</v>
      </c>
    </row>
    <row r="72" spans="1:14" s="127" customFormat="1" ht="33" customHeight="1" x14ac:dyDescent="0.25">
      <c r="A72" s="398">
        <v>14</v>
      </c>
      <c r="B72" s="413"/>
      <c r="C72" s="432" t="s">
        <v>336</v>
      </c>
      <c r="D72" s="432" t="s">
        <v>337</v>
      </c>
      <c r="E72" s="407" t="s">
        <v>267</v>
      </c>
      <c r="F72" s="408"/>
      <c r="G72" s="245">
        <f>SUM(G73:G76)</f>
        <v>65</v>
      </c>
      <c r="H72" s="245">
        <f t="shared" ref="H72" si="2">SUM(H73:H76)</f>
        <v>1188</v>
      </c>
      <c r="I72" s="252" t="s">
        <v>338</v>
      </c>
      <c r="J72" s="120"/>
      <c r="K72" s="120"/>
      <c r="L72" s="120"/>
      <c r="M72" s="245">
        <f t="shared" ref="M72:N72" si="3">SUM(M73:M76)</f>
        <v>34.44</v>
      </c>
      <c r="N72" s="245">
        <f t="shared" si="3"/>
        <v>73</v>
      </c>
    </row>
    <row r="73" spans="1:14" s="127" customFormat="1" ht="12.75" customHeight="1" x14ac:dyDescent="0.25">
      <c r="A73" s="399"/>
      <c r="B73" s="413"/>
      <c r="C73" s="433"/>
      <c r="D73" s="433"/>
      <c r="E73" s="370">
        <v>2016</v>
      </c>
      <c r="F73" s="370">
        <v>2013</v>
      </c>
      <c r="G73" s="249">
        <v>30</v>
      </c>
      <c r="H73" s="249"/>
      <c r="I73" s="253"/>
      <c r="J73" s="120"/>
      <c r="K73" s="120"/>
      <c r="L73" s="120"/>
      <c r="M73" s="249"/>
      <c r="N73" s="249">
        <v>28</v>
      </c>
    </row>
    <row r="74" spans="1:14" s="127" customFormat="1" ht="12.75" customHeight="1" x14ac:dyDescent="0.25">
      <c r="A74" s="399"/>
      <c r="B74" s="413"/>
      <c r="C74" s="433"/>
      <c r="D74" s="433"/>
      <c r="E74" s="370">
        <v>2017</v>
      </c>
      <c r="F74" s="370">
        <v>2014</v>
      </c>
      <c r="G74" s="249">
        <v>10</v>
      </c>
      <c r="H74" s="249">
        <v>288</v>
      </c>
      <c r="I74" s="253">
        <v>12000</v>
      </c>
      <c r="J74" s="120"/>
      <c r="K74" s="120"/>
      <c r="L74" s="120"/>
      <c r="M74" s="249">
        <v>8.24</v>
      </c>
      <c r="N74" s="249">
        <v>10</v>
      </c>
    </row>
    <row r="75" spans="1:14" s="127" customFormat="1" ht="12.75" customHeight="1" x14ac:dyDescent="0.25">
      <c r="A75" s="399"/>
      <c r="B75" s="413"/>
      <c r="C75" s="433"/>
      <c r="D75" s="433"/>
      <c r="E75" s="370">
        <v>2018</v>
      </c>
      <c r="F75" s="370">
        <v>2015</v>
      </c>
      <c r="G75" s="249">
        <v>10</v>
      </c>
      <c r="H75" s="249">
        <v>400</v>
      </c>
      <c r="I75" s="253">
        <v>16667</v>
      </c>
      <c r="J75" s="120"/>
      <c r="K75" s="120"/>
      <c r="L75" s="120"/>
      <c r="M75" s="249">
        <v>11.6</v>
      </c>
      <c r="N75" s="249">
        <v>20</v>
      </c>
    </row>
    <row r="76" spans="1:14" s="127" customFormat="1" ht="12.75" customHeight="1" x14ac:dyDescent="0.25">
      <c r="A76" s="400"/>
      <c r="B76" s="414"/>
      <c r="C76" s="443"/>
      <c r="D76" s="443"/>
      <c r="E76" s="370">
        <v>2019</v>
      </c>
      <c r="F76" s="370">
        <v>2016</v>
      </c>
      <c r="G76" s="249">
        <v>15</v>
      </c>
      <c r="H76" s="249">
        <v>500</v>
      </c>
      <c r="I76" s="253">
        <v>20833</v>
      </c>
      <c r="J76" s="120"/>
      <c r="K76" s="120"/>
      <c r="L76" s="120"/>
      <c r="M76" s="249">
        <v>14.6</v>
      </c>
      <c r="N76" s="249">
        <v>15</v>
      </c>
    </row>
    <row r="77" spans="1:14" s="127" customFormat="1" ht="33" customHeight="1" x14ac:dyDescent="0.25">
      <c r="A77" s="398">
        <v>15</v>
      </c>
      <c r="B77" s="412" t="s">
        <v>360</v>
      </c>
      <c r="C77" s="392" t="s">
        <v>349</v>
      </c>
      <c r="D77" s="392" t="s">
        <v>350</v>
      </c>
      <c r="E77" s="395" t="s">
        <v>267</v>
      </c>
      <c r="F77" s="396"/>
      <c r="G77" s="256">
        <v>25</v>
      </c>
      <c r="H77" s="256">
        <v>0</v>
      </c>
      <c r="I77" s="252" t="s">
        <v>355</v>
      </c>
      <c r="J77" s="120"/>
      <c r="K77" s="120"/>
      <c r="L77" s="120"/>
      <c r="M77" s="245"/>
      <c r="N77" s="245">
        <v>5</v>
      </c>
    </row>
    <row r="78" spans="1:14" s="127" customFormat="1" ht="12.75" customHeight="1" x14ac:dyDescent="0.25">
      <c r="A78" s="399"/>
      <c r="B78" s="413"/>
      <c r="C78" s="393"/>
      <c r="D78" s="393"/>
      <c r="E78" s="397">
        <v>2016</v>
      </c>
      <c r="F78" s="397">
        <v>2013</v>
      </c>
      <c r="G78" s="247">
        <v>10</v>
      </c>
      <c r="H78" s="248">
        <v>0</v>
      </c>
      <c r="I78" s="252">
        <v>0</v>
      </c>
      <c r="J78" s="120"/>
      <c r="K78" s="120"/>
      <c r="L78" s="120"/>
      <c r="M78" s="251"/>
      <c r="N78" s="254">
        <v>0</v>
      </c>
    </row>
    <row r="79" spans="1:14" s="127" customFormat="1" ht="12.75" customHeight="1" x14ac:dyDescent="0.25">
      <c r="A79" s="399"/>
      <c r="B79" s="413"/>
      <c r="C79" s="393"/>
      <c r="D79" s="393"/>
      <c r="E79" s="397">
        <v>2017</v>
      </c>
      <c r="F79" s="397">
        <v>2014</v>
      </c>
      <c r="G79" s="247">
        <v>5</v>
      </c>
      <c r="H79" s="248">
        <v>0</v>
      </c>
      <c r="I79" s="252">
        <v>0</v>
      </c>
      <c r="J79" s="120"/>
      <c r="K79" s="120"/>
      <c r="L79" s="120"/>
      <c r="M79" s="248"/>
      <c r="N79" s="255">
        <v>0</v>
      </c>
    </row>
    <row r="80" spans="1:14" s="127" customFormat="1" ht="12.75" customHeight="1" x14ac:dyDescent="0.25">
      <c r="A80" s="399"/>
      <c r="B80" s="413"/>
      <c r="C80" s="393"/>
      <c r="D80" s="393"/>
      <c r="E80" s="397">
        <v>2018</v>
      </c>
      <c r="F80" s="397">
        <v>2015</v>
      </c>
      <c r="G80" s="247">
        <v>5</v>
      </c>
      <c r="H80" s="248">
        <v>0</v>
      </c>
      <c r="I80" s="252">
        <v>0</v>
      </c>
      <c r="J80" s="120"/>
      <c r="K80" s="120"/>
      <c r="L80" s="120"/>
      <c r="M80" s="248"/>
      <c r="N80" s="255">
        <v>0</v>
      </c>
    </row>
    <row r="81" spans="1:14" s="127" customFormat="1" ht="12.75" customHeight="1" x14ac:dyDescent="0.25">
      <c r="A81" s="400"/>
      <c r="B81" s="413"/>
      <c r="C81" s="394"/>
      <c r="D81" s="394"/>
      <c r="E81" s="397">
        <v>2019</v>
      </c>
      <c r="F81" s="397">
        <v>2016</v>
      </c>
      <c r="G81" s="262">
        <v>5</v>
      </c>
      <c r="H81" s="263">
        <v>0</v>
      </c>
      <c r="I81" s="252">
        <v>0</v>
      </c>
      <c r="J81" s="120"/>
      <c r="K81" s="120"/>
      <c r="L81" s="120"/>
      <c r="M81" s="248"/>
      <c r="N81" s="255">
        <v>5</v>
      </c>
    </row>
    <row r="82" spans="1:14" s="127" customFormat="1" ht="33" customHeight="1" x14ac:dyDescent="0.25">
      <c r="A82" s="398">
        <v>16</v>
      </c>
      <c r="B82" s="413"/>
      <c r="C82" s="392" t="s">
        <v>351</v>
      </c>
      <c r="D82" s="392" t="s">
        <v>352</v>
      </c>
      <c r="E82" s="395" t="s">
        <v>267</v>
      </c>
      <c r="F82" s="396"/>
      <c r="G82" s="256">
        <f>SUM(G83:G86)</f>
        <v>5.5</v>
      </c>
      <c r="H82" s="256">
        <f t="shared" ref="H82" si="4">SUM(H83:H86)</f>
        <v>6.9</v>
      </c>
      <c r="I82" s="252" t="s">
        <v>356</v>
      </c>
      <c r="J82" s="120"/>
      <c r="K82" s="120"/>
      <c r="L82" s="120"/>
      <c r="M82" s="256">
        <f t="shared" ref="M82:N82" si="5">SUM(M83:M86)</f>
        <v>1.1499999999999999</v>
      </c>
      <c r="N82" s="256">
        <f t="shared" si="5"/>
        <v>8</v>
      </c>
    </row>
    <row r="83" spans="1:14" s="127" customFormat="1" ht="12.75" customHeight="1" x14ac:dyDescent="0.25">
      <c r="A83" s="399"/>
      <c r="B83" s="413"/>
      <c r="C83" s="393"/>
      <c r="D83" s="393"/>
      <c r="E83" s="397">
        <v>2016</v>
      </c>
      <c r="F83" s="397">
        <v>2013</v>
      </c>
      <c r="G83" s="247">
        <v>2.5</v>
      </c>
      <c r="H83" s="247">
        <v>1.5</v>
      </c>
      <c r="I83" s="247">
        <v>0</v>
      </c>
      <c r="J83" s="120"/>
      <c r="K83" s="120"/>
      <c r="L83" s="120"/>
      <c r="M83" s="247">
        <v>0.2</v>
      </c>
      <c r="N83" s="267">
        <v>1</v>
      </c>
    </row>
    <row r="84" spans="1:14" s="127" customFormat="1" ht="12.75" customHeight="1" x14ac:dyDescent="0.25">
      <c r="A84" s="399"/>
      <c r="B84" s="413"/>
      <c r="C84" s="393"/>
      <c r="D84" s="393"/>
      <c r="E84" s="397">
        <v>2017</v>
      </c>
      <c r="F84" s="397">
        <v>2014</v>
      </c>
      <c r="G84" s="247">
        <v>1.5</v>
      </c>
      <c r="H84" s="247">
        <v>1.6</v>
      </c>
      <c r="I84" s="247">
        <v>3000</v>
      </c>
      <c r="J84" s="120"/>
      <c r="K84" s="120"/>
      <c r="L84" s="120"/>
      <c r="M84" s="247">
        <v>0.3</v>
      </c>
      <c r="N84" s="267">
        <v>4</v>
      </c>
    </row>
    <row r="85" spans="1:14" s="127" customFormat="1" ht="12.75" customHeight="1" x14ac:dyDescent="0.25">
      <c r="A85" s="399"/>
      <c r="B85" s="413"/>
      <c r="C85" s="393"/>
      <c r="D85" s="393"/>
      <c r="E85" s="397">
        <v>2018</v>
      </c>
      <c r="F85" s="397">
        <v>2015</v>
      </c>
      <c r="G85" s="247">
        <v>0.5</v>
      </c>
      <c r="H85" s="247">
        <v>1.8</v>
      </c>
      <c r="I85" s="247">
        <v>3500</v>
      </c>
      <c r="J85" s="120"/>
      <c r="K85" s="120"/>
      <c r="L85" s="120"/>
      <c r="M85" s="247">
        <v>0.25</v>
      </c>
      <c r="N85" s="267">
        <v>2</v>
      </c>
    </row>
    <row r="86" spans="1:14" s="127" customFormat="1" ht="12.75" customHeight="1" x14ac:dyDescent="0.25">
      <c r="A86" s="400"/>
      <c r="B86" s="413"/>
      <c r="C86" s="394"/>
      <c r="D86" s="394"/>
      <c r="E86" s="397">
        <v>2019</v>
      </c>
      <c r="F86" s="397">
        <v>2016</v>
      </c>
      <c r="G86" s="247">
        <v>1</v>
      </c>
      <c r="H86" s="247">
        <v>2</v>
      </c>
      <c r="I86" s="247">
        <v>4000</v>
      </c>
      <c r="J86" s="120"/>
      <c r="K86" s="120"/>
      <c r="L86" s="120"/>
      <c r="M86" s="247">
        <v>0.4</v>
      </c>
      <c r="N86" s="267">
        <v>1</v>
      </c>
    </row>
    <row r="87" spans="1:14" s="104" customFormat="1" ht="33" customHeight="1" x14ac:dyDescent="0.25">
      <c r="A87" s="398">
        <v>17</v>
      </c>
      <c r="B87" s="413"/>
      <c r="C87" s="392" t="s">
        <v>353</v>
      </c>
      <c r="D87" s="392" t="s">
        <v>354</v>
      </c>
      <c r="E87" s="395" t="s">
        <v>267</v>
      </c>
      <c r="F87" s="396"/>
      <c r="G87" s="245">
        <f>SUM(G88:G91)</f>
        <v>8.6</v>
      </c>
      <c r="H87" s="245">
        <f t="shared" ref="H87" si="6">SUM(H88:H91)</f>
        <v>15</v>
      </c>
      <c r="I87" s="252" t="s">
        <v>347</v>
      </c>
      <c r="J87" s="120"/>
      <c r="K87" s="120"/>
      <c r="L87" s="120"/>
      <c r="M87" s="245">
        <f t="shared" ref="M87:N87" si="7">SUM(M88:M91)</f>
        <v>5.25</v>
      </c>
      <c r="N87" s="245">
        <f t="shared" si="7"/>
        <v>31</v>
      </c>
    </row>
    <row r="88" spans="1:14" s="104" customFormat="1" ht="12.75" customHeight="1" x14ac:dyDescent="0.2">
      <c r="A88" s="399"/>
      <c r="B88" s="413"/>
      <c r="C88" s="393"/>
      <c r="D88" s="393"/>
      <c r="E88" s="397">
        <v>2016</v>
      </c>
      <c r="F88" s="397">
        <v>2013</v>
      </c>
      <c r="G88" s="264">
        <v>1.5</v>
      </c>
      <c r="H88" s="265"/>
      <c r="I88" s="252"/>
      <c r="J88" s="120"/>
      <c r="K88" s="120"/>
      <c r="L88" s="120"/>
      <c r="M88" s="246"/>
      <c r="N88" s="246">
        <v>3</v>
      </c>
    </row>
    <row r="89" spans="1:14" s="104" customFormat="1" ht="12.75" customHeight="1" x14ac:dyDescent="0.2">
      <c r="A89" s="399"/>
      <c r="B89" s="413"/>
      <c r="C89" s="393"/>
      <c r="D89" s="393"/>
      <c r="E89" s="397">
        <v>2017</v>
      </c>
      <c r="F89" s="397">
        <v>2014</v>
      </c>
      <c r="G89" s="264">
        <v>1.6</v>
      </c>
      <c r="H89" s="265"/>
      <c r="I89" s="252"/>
      <c r="J89" s="120"/>
      <c r="K89" s="120"/>
      <c r="L89" s="120"/>
      <c r="M89" s="246"/>
      <c r="N89" s="246">
        <v>5</v>
      </c>
    </row>
    <row r="90" spans="1:14" s="104" customFormat="1" ht="12.75" customHeight="1" x14ac:dyDescent="0.2">
      <c r="A90" s="399"/>
      <c r="B90" s="413"/>
      <c r="C90" s="393"/>
      <c r="D90" s="393"/>
      <c r="E90" s="397">
        <v>2018</v>
      </c>
      <c r="F90" s="397">
        <v>2015</v>
      </c>
      <c r="G90" s="264">
        <v>2</v>
      </c>
      <c r="H90" s="265"/>
      <c r="I90" s="252"/>
      <c r="J90" s="120"/>
      <c r="K90" s="120"/>
      <c r="L90" s="120"/>
      <c r="M90" s="246"/>
      <c r="N90" s="246">
        <v>8</v>
      </c>
    </row>
    <row r="91" spans="1:14" s="104" customFormat="1" ht="12.75" customHeight="1" x14ac:dyDescent="0.25">
      <c r="A91" s="400"/>
      <c r="B91" s="414"/>
      <c r="C91" s="394"/>
      <c r="D91" s="394"/>
      <c r="E91" s="397">
        <v>2019</v>
      </c>
      <c r="F91" s="397">
        <v>2016</v>
      </c>
      <c r="G91" s="264">
        <v>3.5</v>
      </c>
      <c r="H91" s="266">
        <v>15</v>
      </c>
      <c r="I91" s="252"/>
      <c r="J91" s="120"/>
      <c r="K91" s="120"/>
      <c r="L91" s="120"/>
      <c r="M91" s="249">
        <v>5.25</v>
      </c>
      <c r="N91" s="249">
        <v>15</v>
      </c>
    </row>
    <row r="92" spans="1:14" s="104" customFormat="1" ht="33" customHeight="1" x14ac:dyDescent="0.2">
      <c r="A92" s="398">
        <v>18</v>
      </c>
      <c r="B92" s="409" t="s">
        <v>309</v>
      </c>
      <c r="C92" s="409" t="s">
        <v>303</v>
      </c>
      <c r="D92" s="409" t="s">
        <v>304</v>
      </c>
      <c r="E92" s="407" t="s">
        <v>267</v>
      </c>
      <c r="F92" s="408"/>
      <c r="G92" s="123">
        <f>G93+G94+G95</f>
        <v>0.89999999999999991</v>
      </c>
      <c r="H92" s="122"/>
      <c r="I92" s="122"/>
      <c r="J92" s="124"/>
      <c r="K92" s="124"/>
      <c r="L92" s="124"/>
      <c r="M92" s="124"/>
      <c r="N92" s="124"/>
    </row>
    <row r="93" spans="1:14" s="104" customFormat="1" ht="18" x14ac:dyDescent="0.2">
      <c r="A93" s="399"/>
      <c r="B93" s="410"/>
      <c r="C93" s="410"/>
      <c r="D93" s="410"/>
      <c r="E93" s="370">
        <v>2016</v>
      </c>
      <c r="F93" s="370">
        <v>2013</v>
      </c>
      <c r="G93" s="122">
        <v>0.7</v>
      </c>
      <c r="H93" s="122"/>
      <c r="I93" s="122"/>
      <c r="J93" s="124"/>
      <c r="K93" s="124"/>
      <c r="L93" s="124"/>
      <c r="M93" s="124"/>
      <c r="N93" s="124"/>
    </row>
    <row r="94" spans="1:14" s="104" customFormat="1" ht="18" x14ac:dyDescent="0.2">
      <c r="A94" s="399"/>
      <c r="B94" s="410"/>
      <c r="C94" s="410"/>
      <c r="D94" s="410"/>
      <c r="E94" s="370">
        <v>2017</v>
      </c>
      <c r="F94" s="370">
        <v>2014</v>
      </c>
      <c r="G94" s="122">
        <v>0.1</v>
      </c>
      <c r="H94" s="122"/>
      <c r="I94" s="122"/>
      <c r="J94" s="124"/>
      <c r="K94" s="124"/>
      <c r="L94" s="124"/>
      <c r="M94" s="124"/>
      <c r="N94" s="124"/>
    </row>
    <row r="95" spans="1:14" s="104" customFormat="1" ht="18" x14ac:dyDescent="0.2">
      <c r="A95" s="399"/>
      <c r="B95" s="410"/>
      <c r="C95" s="410"/>
      <c r="D95" s="410"/>
      <c r="E95" s="370">
        <v>2018</v>
      </c>
      <c r="F95" s="370">
        <v>2015</v>
      </c>
      <c r="G95" s="122">
        <v>0.1</v>
      </c>
      <c r="H95" s="122"/>
      <c r="I95" s="122"/>
      <c r="J95" s="124"/>
      <c r="K95" s="124"/>
      <c r="L95" s="124"/>
      <c r="M95" s="124"/>
      <c r="N95" s="124"/>
    </row>
    <row r="96" spans="1:14" s="104" customFormat="1" ht="18" x14ac:dyDescent="0.2">
      <c r="A96" s="400"/>
      <c r="B96" s="410"/>
      <c r="C96" s="411"/>
      <c r="D96" s="411"/>
      <c r="E96" s="370">
        <v>2019</v>
      </c>
      <c r="F96" s="370">
        <v>2016</v>
      </c>
      <c r="G96" s="122">
        <v>0</v>
      </c>
      <c r="H96" s="122"/>
      <c r="I96" s="122"/>
      <c r="J96" s="124"/>
      <c r="K96" s="124"/>
      <c r="L96" s="124"/>
      <c r="M96" s="124"/>
      <c r="N96" s="124"/>
    </row>
    <row r="97" spans="1:14" s="104" customFormat="1" ht="33" customHeight="1" x14ac:dyDescent="0.2">
      <c r="A97" s="398">
        <v>19</v>
      </c>
      <c r="B97" s="410"/>
      <c r="C97" s="409" t="s">
        <v>305</v>
      </c>
      <c r="D97" s="409" t="s">
        <v>306</v>
      </c>
      <c r="E97" s="407" t="s">
        <v>267</v>
      </c>
      <c r="F97" s="408"/>
      <c r="G97" s="123">
        <f>G98+G99+G100</f>
        <v>3</v>
      </c>
      <c r="H97" s="122"/>
      <c r="I97" s="122"/>
      <c r="J97" s="124"/>
      <c r="K97" s="124"/>
      <c r="L97" s="124"/>
      <c r="M97" s="124"/>
      <c r="N97" s="124"/>
    </row>
    <row r="98" spans="1:14" s="104" customFormat="1" ht="18" x14ac:dyDescent="0.2">
      <c r="A98" s="399"/>
      <c r="B98" s="410"/>
      <c r="C98" s="410"/>
      <c r="D98" s="410"/>
      <c r="E98" s="370">
        <v>2016</v>
      </c>
      <c r="F98" s="370">
        <v>2013</v>
      </c>
      <c r="G98" s="122">
        <v>3</v>
      </c>
      <c r="H98" s="122"/>
      <c r="I98" s="122"/>
      <c r="J98" s="124"/>
      <c r="K98" s="124"/>
      <c r="L98" s="124"/>
      <c r="M98" s="124"/>
      <c r="N98" s="124"/>
    </row>
    <row r="99" spans="1:14" s="104" customFormat="1" ht="18" x14ac:dyDescent="0.2">
      <c r="A99" s="399"/>
      <c r="B99" s="410"/>
      <c r="C99" s="410"/>
      <c r="D99" s="410"/>
      <c r="E99" s="370">
        <v>2017</v>
      </c>
      <c r="F99" s="370">
        <v>2014</v>
      </c>
      <c r="G99" s="122">
        <v>0</v>
      </c>
      <c r="H99" s="122"/>
      <c r="I99" s="122"/>
      <c r="J99" s="124"/>
      <c r="K99" s="124"/>
      <c r="L99" s="124"/>
      <c r="M99" s="124"/>
      <c r="N99" s="124"/>
    </row>
    <row r="100" spans="1:14" s="104" customFormat="1" ht="18" x14ac:dyDescent="0.2">
      <c r="A100" s="399"/>
      <c r="B100" s="410"/>
      <c r="C100" s="410"/>
      <c r="D100" s="410"/>
      <c r="E100" s="370">
        <v>2018</v>
      </c>
      <c r="F100" s="370">
        <v>2015</v>
      </c>
      <c r="G100" s="122">
        <v>0</v>
      </c>
      <c r="H100" s="122"/>
      <c r="I100" s="122"/>
      <c r="J100" s="124"/>
      <c r="K100" s="124"/>
      <c r="L100" s="124"/>
      <c r="M100" s="124"/>
      <c r="N100" s="124"/>
    </row>
    <row r="101" spans="1:14" s="104" customFormat="1" ht="18" x14ac:dyDescent="0.2">
      <c r="A101" s="400"/>
      <c r="B101" s="410"/>
      <c r="C101" s="411"/>
      <c r="D101" s="411"/>
      <c r="E101" s="370">
        <v>2019</v>
      </c>
      <c r="F101" s="370">
        <v>2016</v>
      </c>
      <c r="G101" s="122">
        <v>0</v>
      </c>
      <c r="H101" s="122"/>
      <c r="I101" s="122"/>
      <c r="J101" s="124"/>
      <c r="K101" s="124"/>
      <c r="L101" s="124"/>
      <c r="M101" s="124"/>
      <c r="N101" s="124"/>
    </row>
    <row r="102" spans="1:14" s="127" customFormat="1" ht="33" customHeight="1" x14ac:dyDescent="0.2">
      <c r="A102" s="398">
        <v>20</v>
      </c>
      <c r="B102" s="410"/>
      <c r="C102" s="409" t="s">
        <v>307</v>
      </c>
      <c r="D102" s="409" t="s">
        <v>308</v>
      </c>
      <c r="E102" s="407" t="s">
        <v>267</v>
      </c>
      <c r="F102" s="408"/>
      <c r="G102" s="123">
        <f>G103+G104+G105</f>
        <v>0.4</v>
      </c>
      <c r="H102" s="122"/>
      <c r="I102" s="122"/>
      <c r="J102" s="124"/>
      <c r="K102" s="124"/>
      <c r="L102" s="124"/>
      <c r="M102" s="124"/>
      <c r="N102" s="124"/>
    </row>
    <row r="103" spans="1:14" s="127" customFormat="1" ht="18" x14ac:dyDescent="0.2">
      <c r="A103" s="399"/>
      <c r="B103" s="410"/>
      <c r="C103" s="410"/>
      <c r="D103" s="410"/>
      <c r="E103" s="370">
        <v>2016</v>
      </c>
      <c r="F103" s="370">
        <v>2013</v>
      </c>
      <c r="G103" s="122">
        <v>0.2</v>
      </c>
      <c r="H103" s="122"/>
      <c r="I103" s="122"/>
      <c r="J103" s="124"/>
      <c r="K103" s="124"/>
      <c r="L103" s="124"/>
      <c r="M103" s="124"/>
      <c r="N103" s="124"/>
    </row>
    <row r="104" spans="1:14" s="127" customFormat="1" ht="18" x14ac:dyDescent="0.2">
      <c r="A104" s="399"/>
      <c r="B104" s="410"/>
      <c r="C104" s="410"/>
      <c r="D104" s="410"/>
      <c r="E104" s="370">
        <v>2017</v>
      </c>
      <c r="F104" s="370">
        <v>2014</v>
      </c>
      <c r="G104" s="122">
        <v>0.1</v>
      </c>
      <c r="H104" s="122"/>
      <c r="I104" s="122"/>
      <c r="J104" s="124"/>
      <c r="K104" s="124"/>
      <c r="L104" s="124"/>
      <c r="M104" s="124"/>
      <c r="N104" s="124"/>
    </row>
    <row r="105" spans="1:14" s="127" customFormat="1" ht="18" x14ac:dyDescent="0.2">
      <c r="A105" s="399"/>
      <c r="B105" s="410"/>
      <c r="C105" s="410"/>
      <c r="D105" s="410"/>
      <c r="E105" s="370">
        <v>2018</v>
      </c>
      <c r="F105" s="370">
        <v>2015</v>
      </c>
      <c r="G105" s="122">
        <v>0.1</v>
      </c>
      <c r="H105" s="122"/>
      <c r="I105" s="122"/>
      <c r="J105" s="124"/>
      <c r="K105" s="124"/>
      <c r="L105" s="124"/>
      <c r="M105" s="124"/>
      <c r="N105" s="124"/>
    </row>
    <row r="106" spans="1:14" s="127" customFormat="1" ht="18" x14ac:dyDescent="0.2">
      <c r="A106" s="400"/>
      <c r="B106" s="410"/>
      <c r="C106" s="411"/>
      <c r="D106" s="411"/>
      <c r="E106" s="370">
        <v>2019</v>
      </c>
      <c r="F106" s="370">
        <v>2016</v>
      </c>
      <c r="G106" s="122">
        <v>0</v>
      </c>
      <c r="H106" s="122"/>
      <c r="I106" s="122"/>
      <c r="J106" s="124"/>
      <c r="K106" s="124"/>
      <c r="L106" s="124"/>
      <c r="M106" s="124"/>
      <c r="N106" s="124"/>
    </row>
    <row r="107" spans="1:14" s="121" customFormat="1" ht="33" customHeight="1" x14ac:dyDescent="0.25">
      <c r="A107" s="398">
        <v>21</v>
      </c>
      <c r="B107" s="412" t="s">
        <v>317</v>
      </c>
      <c r="C107" s="415" t="s">
        <v>310</v>
      </c>
      <c r="D107" s="415" t="s">
        <v>311</v>
      </c>
      <c r="E107" s="407" t="s">
        <v>267</v>
      </c>
      <c r="F107" s="408"/>
      <c r="G107" s="105">
        <f>G108+G109+G110+G111</f>
        <v>22.8</v>
      </c>
      <c r="H107" s="105">
        <f t="shared" ref="H107:N107" si="8">H108+H109+H110+H111</f>
        <v>1869.86</v>
      </c>
      <c r="I107" s="105">
        <f t="shared" si="8"/>
        <v>0</v>
      </c>
      <c r="J107" s="105">
        <f t="shared" si="8"/>
        <v>0</v>
      </c>
      <c r="K107" s="105">
        <f t="shared" si="8"/>
        <v>0</v>
      </c>
      <c r="L107" s="105">
        <f t="shared" si="8"/>
        <v>0</v>
      </c>
      <c r="M107" s="105">
        <f t="shared" si="8"/>
        <v>0</v>
      </c>
      <c r="N107" s="105">
        <f t="shared" si="8"/>
        <v>0</v>
      </c>
    </row>
    <row r="108" spans="1:14" s="121" customFormat="1" ht="18" x14ac:dyDescent="0.25">
      <c r="A108" s="399"/>
      <c r="B108" s="413"/>
      <c r="C108" s="416"/>
      <c r="D108" s="416"/>
      <c r="E108" s="370">
        <v>2016</v>
      </c>
      <c r="F108" s="370">
        <v>2013</v>
      </c>
      <c r="G108" s="105">
        <v>3.8</v>
      </c>
      <c r="H108" s="105">
        <v>429.06</v>
      </c>
      <c r="I108" s="105"/>
      <c r="J108" s="105"/>
      <c r="K108" s="105"/>
      <c r="L108" s="105"/>
      <c r="M108" s="105"/>
      <c r="N108" s="105"/>
    </row>
    <row r="109" spans="1:14" s="121" customFormat="1" ht="18" x14ac:dyDescent="0.25">
      <c r="A109" s="399"/>
      <c r="B109" s="413"/>
      <c r="C109" s="416"/>
      <c r="D109" s="416"/>
      <c r="E109" s="370">
        <v>2017</v>
      </c>
      <c r="F109" s="370">
        <v>2014</v>
      </c>
      <c r="G109" s="105">
        <v>15</v>
      </c>
      <c r="H109" s="105">
        <v>458.3</v>
      </c>
      <c r="I109" s="105"/>
      <c r="J109" s="105"/>
      <c r="K109" s="105"/>
      <c r="L109" s="105"/>
      <c r="M109" s="105"/>
      <c r="N109" s="105"/>
    </row>
    <row r="110" spans="1:14" s="121" customFormat="1" ht="18" x14ac:dyDescent="0.25">
      <c r="A110" s="399"/>
      <c r="B110" s="413"/>
      <c r="C110" s="416"/>
      <c r="D110" s="416"/>
      <c r="E110" s="370">
        <v>2018</v>
      </c>
      <c r="F110" s="370">
        <v>2015</v>
      </c>
      <c r="G110" s="105">
        <v>2</v>
      </c>
      <c r="H110" s="105">
        <v>482.7</v>
      </c>
      <c r="I110" s="105"/>
      <c r="J110" s="105"/>
      <c r="K110" s="105"/>
      <c r="L110" s="105"/>
      <c r="M110" s="105"/>
      <c r="N110" s="105"/>
    </row>
    <row r="111" spans="1:14" s="121" customFormat="1" ht="18" x14ac:dyDescent="0.25">
      <c r="A111" s="400"/>
      <c r="B111" s="413"/>
      <c r="C111" s="417"/>
      <c r="D111" s="417"/>
      <c r="E111" s="370">
        <v>2019</v>
      </c>
      <c r="F111" s="370">
        <v>2016</v>
      </c>
      <c r="G111" s="105">
        <v>2</v>
      </c>
      <c r="H111" s="105">
        <v>499.8</v>
      </c>
      <c r="I111" s="105"/>
      <c r="J111" s="105"/>
      <c r="K111" s="105"/>
      <c r="L111" s="105"/>
      <c r="M111" s="105"/>
      <c r="N111" s="105"/>
    </row>
    <row r="112" spans="1:14" s="121" customFormat="1" ht="33" customHeight="1" x14ac:dyDescent="0.25">
      <c r="A112" s="398">
        <v>22</v>
      </c>
      <c r="B112" s="413"/>
      <c r="C112" s="415" t="s">
        <v>312</v>
      </c>
      <c r="D112" s="415" t="s">
        <v>311</v>
      </c>
      <c r="E112" s="407" t="s">
        <v>267</v>
      </c>
      <c r="F112" s="408"/>
      <c r="G112" s="105">
        <f>G113+G114+G115+G116</f>
        <v>19.96</v>
      </c>
      <c r="H112" s="105">
        <f t="shared" ref="H112:N112" si="9">H113+H114+H115+H116</f>
        <v>55.269999999999996</v>
      </c>
      <c r="I112" s="105">
        <f t="shared" si="9"/>
        <v>177.4</v>
      </c>
      <c r="J112" s="105">
        <f t="shared" si="9"/>
        <v>0</v>
      </c>
      <c r="K112" s="105">
        <f t="shared" si="9"/>
        <v>0</v>
      </c>
      <c r="L112" s="105">
        <f t="shared" si="9"/>
        <v>0</v>
      </c>
      <c r="M112" s="105">
        <f t="shared" si="9"/>
        <v>0</v>
      </c>
      <c r="N112" s="105">
        <f t="shared" si="9"/>
        <v>8</v>
      </c>
    </row>
    <row r="113" spans="1:14" s="121" customFormat="1" ht="18" x14ac:dyDescent="0.25">
      <c r="A113" s="399"/>
      <c r="B113" s="413"/>
      <c r="C113" s="416"/>
      <c r="D113" s="416"/>
      <c r="E113" s="370">
        <v>2016</v>
      </c>
      <c r="F113" s="370">
        <v>2013</v>
      </c>
      <c r="G113" s="105">
        <v>19.96</v>
      </c>
      <c r="H113" s="105">
        <v>2.17</v>
      </c>
      <c r="I113" s="105">
        <v>27.4</v>
      </c>
      <c r="J113" s="105"/>
      <c r="K113" s="105"/>
      <c r="L113" s="105"/>
      <c r="M113" s="105"/>
      <c r="N113" s="105">
        <v>8</v>
      </c>
    </row>
    <row r="114" spans="1:14" s="121" customFormat="1" ht="18" x14ac:dyDescent="0.25">
      <c r="A114" s="399"/>
      <c r="B114" s="413"/>
      <c r="C114" s="416"/>
      <c r="D114" s="416"/>
      <c r="E114" s="370">
        <v>2017</v>
      </c>
      <c r="F114" s="370">
        <v>2014</v>
      </c>
      <c r="G114" s="105">
        <v>0</v>
      </c>
      <c r="H114" s="105">
        <v>17.7</v>
      </c>
      <c r="I114" s="105">
        <v>50</v>
      </c>
      <c r="J114" s="105"/>
      <c r="K114" s="105"/>
      <c r="L114" s="105"/>
      <c r="M114" s="105"/>
      <c r="N114" s="105"/>
    </row>
    <row r="115" spans="1:14" s="121" customFormat="1" ht="18" x14ac:dyDescent="0.25">
      <c r="A115" s="399"/>
      <c r="B115" s="413"/>
      <c r="C115" s="416"/>
      <c r="D115" s="416"/>
      <c r="E115" s="370">
        <v>2018</v>
      </c>
      <c r="F115" s="370">
        <v>2015</v>
      </c>
      <c r="G115" s="105">
        <v>0</v>
      </c>
      <c r="H115" s="105">
        <v>17.7</v>
      </c>
      <c r="I115" s="105">
        <v>50</v>
      </c>
      <c r="J115" s="105"/>
      <c r="K115" s="105"/>
      <c r="L115" s="105"/>
      <c r="M115" s="105"/>
      <c r="N115" s="105"/>
    </row>
    <row r="116" spans="1:14" s="121" customFormat="1" ht="18" x14ac:dyDescent="0.25">
      <c r="A116" s="400"/>
      <c r="B116" s="413"/>
      <c r="C116" s="417"/>
      <c r="D116" s="417"/>
      <c r="E116" s="370">
        <v>2019</v>
      </c>
      <c r="F116" s="370">
        <v>2016</v>
      </c>
      <c r="G116" s="105">
        <v>0</v>
      </c>
      <c r="H116" s="105">
        <v>17.7</v>
      </c>
      <c r="I116" s="105">
        <v>50</v>
      </c>
      <c r="J116" s="105"/>
      <c r="K116" s="105"/>
      <c r="L116" s="105"/>
      <c r="M116" s="105"/>
      <c r="N116" s="105"/>
    </row>
    <row r="117" spans="1:14" s="121" customFormat="1" ht="33" customHeight="1" x14ac:dyDescent="0.25">
      <c r="A117" s="398">
        <v>23</v>
      </c>
      <c r="B117" s="413"/>
      <c r="C117" s="416" t="s">
        <v>313</v>
      </c>
      <c r="D117" s="416" t="s">
        <v>314</v>
      </c>
      <c r="E117" s="407" t="s">
        <v>267</v>
      </c>
      <c r="F117" s="408"/>
      <c r="G117" s="125">
        <f>G118+G119+G120+G121</f>
        <v>376</v>
      </c>
      <c r="H117" s="125">
        <f t="shared" ref="H117:N117" si="10">H118+H119+H120+H121</f>
        <v>435</v>
      </c>
      <c r="I117" s="125">
        <f t="shared" si="10"/>
        <v>0</v>
      </c>
      <c r="J117" s="125">
        <f t="shared" si="10"/>
        <v>48872</v>
      </c>
      <c r="K117" s="125">
        <f t="shared" si="10"/>
        <v>0</v>
      </c>
      <c r="L117" s="125">
        <f t="shared" si="10"/>
        <v>0</v>
      </c>
      <c r="M117" s="125">
        <f t="shared" si="10"/>
        <v>65208</v>
      </c>
      <c r="N117" s="125">
        <f t="shared" si="10"/>
        <v>338</v>
      </c>
    </row>
    <row r="118" spans="1:14" s="121" customFormat="1" ht="18" x14ac:dyDescent="0.25">
      <c r="A118" s="399"/>
      <c r="B118" s="413"/>
      <c r="C118" s="416"/>
      <c r="D118" s="416"/>
      <c r="E118" s="370">
        <v>2016</v>
      </c>
      <c r="F118" s="370">
        <v>2013</v>
      </c>
      <c r="G118" s="105"/>
      <c r="H118" s="105"/>
      <c r="I118" s="105"/>
      <c r="J118" s="105"/>
      <c r="K118" s="105"/>
      <c r="L118" s="105"/>
      <c r="M118" s="105"/>
      <c r="N118" s="105"/>
    </row>
    <row r="119" spans="1:14" s="121" customFormat="1" ht="18" x14ac:dyDescent="0.25">
      <c r="A119" s="399"/>
      <c r="B119" s="413"/>
      <c r="C119" s="416"/>
      <c r="D119" s="416"/>
      <c r="E119" s="370">
        <v>2017</v>
      </c>
      <c r="F119" s="370">
        <v>2014</v>
      </c>
      <c r="G119" s="126">
        <v>300</v>
      </c>
      <c r="H119" s="105"/>
      <c r="I119" s="105"/>
      <c r="J119" s="126">
        <v>5400</v>
      </c>
      <c r="K119" s="105"/>
      <c r="L119" s="105"/>
      <c r="M119" s="105"/>
      <c r="N119" s="126">
        <v>90</v>
      </c>
    </row>
    <row r="120" spans="1:14" s="121" customFormat="1" ht="18" x14ac:dyDescent="0.25">
      <c r="A120" s="399"/>
      <c r="B120" s="413"/>
      <c r="C120" s="416"/>
      <c r="D120" s="416"/>
      <c r="E120" s="370">
        <v>2018</v>
      </c>
      <c r="F120" s="370">
        <v>2015</v>
      </c>
      <c r="G120" s="126">
        <v>76</v>
      </c>
      <c r="H120" s="105">
        <v>435</v>
      </c>
      <c r="I120" s="105"/>
      <c r="J120" s="126">
        <v>43472</v>
      </c>
      <c r="K120" s="105"/>
      <c r="L120" s="105"/>
      <c r="M120" s="125">
        <v>65208</v>
      </c>
      <c r="N120" s="126">
        <v>248</v>
      </c>
    </row>
    <row r="121" spans="1:14" s="121" customFormat="1" ht="18" x14ac:dyDescent="0.25">
      <c r="A121" s="400"/>
      <c r="B121" s="413"/>
      <c r="C121" s="417"/>
      <c r="D121" s="417"/>
      <c r="E121" s="370">
        <v>2019</v>
      </c>
      <c r="F121" s="370">
        <v>2016</v>
      </c>
      <c r="G121" s="126"/>
      <c r="H121" s="105"/>
      <c r="I121" s="105"/>
      <c r="J121" s="105"/>
      <c r="K121" s="105"/>
      <c r="L121" s="105"/>
      <c r="M121" s="105"/>
      <c r="N121" s="105"/>
    </row>
    <row r="122" spans="1:14" s="121" customFormat="1" ht="33" customHeight="1" x14ac:dyDescent="0.25">
      <c r="A122" s="398">
        <v>24</v>
      </c>
      <c r="B122" s="413"/>
      <c r="C122" s="392" t="s">
        <v>357</v>
      </c>
      <c r="D122" s="429" t="s">
        <v>358</v>
      </c>
      <c r="E122" s="395" t="s">
        <v>267</v>
      </c>
      <c r="F122" s="396"/>
      <c r="G122" s="245">
        <f t="shared" ref="G122:H122" si="11">SUM(G123:G126)</f>
        <v>162</v>
      </c>
      <c r="H122" s="245">
        <f t="shared" si="11"/>
        <v>1425.2</v>
      </c>
      <c r="I122" s="270" t="s">
        <v>359</v>
      </c>
      <c r="J122" s="126">
        <f t="shared" ref="J122:L122" si="12">J123+J124+J125+J126</f>
        <v>0</v>
      </c>
      <c r="K122" s="126">
        <f t="shared" si="12"/>
        <v>0</v>
      </c>
      <c r="L122" s="126">
        <f t="shared" si="12"/>
        <v>0</v>
      </c>
      <c r="M122" s="245">
        <f t="shared" ref="M122:N122" si="13">SUM(M123:M126)</f>
        <v>0</v>
      </c>
      <c r="N122" s="245">
        <f t="shared" si="13"/>
        <v>65</v>
      </c>
    </row>
    <row r="123" spans="1:14" s="121" customFormat="1" ht="18" x14ac:dyDescent="0.25">
      <c r="A123" s="399"/>
      <c r="B123" s="413"/>
      <c r="C123" s="393"/>
      <c r="D123" s="430"/>
      <c r="E123" s="397">
        <v>2016</v>
      </c>
      <c r="F123" s="397">
        <v>2013</v>
      </c>
      <c r="G123" s="268">
        <v>25</v>
      </c>
      <c r="H123" s="249">
        <v>356.3</v>
      </c>
      <c r="I123" s="269">
        <v>12000</v>
      </c>
      <c r="J123" s="105"/>
      <c r="K123" s="105"/>
      <c r="L123" s="105"/>
      <c r="M123" s="249">
        <v>0</v>
      </c>
      <c r="N123" s="271">
        <v>4</v>
      </c>
    </row>
    <row r="124" spans="1:14" s="121" customFormat="1" ht="18" x14ac:dyDescent="0.25">
      <c r="A124" s="399"/>
      <c r="B124" s="413"/>
      <c r="C124" s="393"/>
      <c r="D124" s="430"/>
      <c r="E124" s="397">
        <v>2017</v>
      </c>
      <c r="F124" s="397">
        <v>2014</v>
      </c>
      <c r="G124" s="269">
        <v>50</v>
      </c>
      <c r="H124" s="249">
        <v>356.3</v>
      </c>
      <c r="I124" s="269">
        <v>20400</v>
      </c>
      <c r="J124" s="105"/>
      <c r="K124" s="105"/>
      <c r="L124" s="105"/>
      <c r="M124" s="249">
        <v>0</v>
      </c>
      <c r="N124" s="272">
        <v>6</v>
      </c>
    </row>
    <row r="125" spans="1:14" s="121" customFormat="1" ht="18" x14ac:dyDescent="0.25">
      <c r="A125" s="399"/>
      <c r="B125" s="413"/>
      <c r="C125" s="393"/>
      <c r="D125" s="430"/>
      <c r="E125" s="397">
        <v>2018</v>
      </c>
      <c r="F125" s="397">
        <v>2015</v>
      </c>
      <c r="G125" s="269">
        <v>80</v>
      </c>
      <c r="H125" s="249">
        <v>356.3</v>
      </c>
      <c r="I125" s="269">
        <v>22000</v>
      </c>
      <c r="J125" s="105"/>
      <c r="K125" s="105"/>
      <c r="L125" s="105"/>
      <c r="M125" s="249">
        <v>0</v>
      </c>
      <c r="N125" s="272">
        <v>20</v>
      </c>
    </row>
    <row r="126" spans="1:14" s="121" customFormat="1" ht="18" x14ac:dyDescent="0.25">
      <c r="A126" s="400"/>
      <c r="B126" s="413"/>
      <c r="C126" s="394"/>
      <c r="D126" s="431"/>
      <c r="E126" s="397">
        <v>2019</v>
      </c>
      <c r="F126" s="397">
        <v>2016</v>
      </c>
      <c r="G126" s="269">
        <v>7</v>
      </c>
      <c r="H126" s="249">
        <v>356.3</v>
      </c>
      <c r="I126" s="269">
        <v>23000</v>
      </c>
      <c r="J126" s="105"/>
      <c r="K126" s="105"/>
      <c r="L126" s="105"/>
      <c r="M126" s="249">
        <v>0</v>
      </c>
      <c r="N126" s="272">
        <v>35</v>
      </c>
    </row>
    <row r="127" spans="1:14" s="121" customFormat="1" ht="33" customHeight="1" x14ac:dyDescent="0.25">
      <c r="A127" s="398">
        <v>25</v>
      </c>
      <c r="B127" s="413"/>
      <c r="C127" s="415" t="s">
        <v>316</v>
      </c>
      <c r="D127" s="415" t="s">
        <v>315</v>
      </c>
      <c r="E127" s="407" t="s">
        <v>267</v>
      </c>
      <c r="F127" s="408"/>
      <c r="G127" s="126">
        <f>G128+G129+G130+G131</f>
        <v>64</v>
      </c>
      <c r="H127" s="126">
        <f t="shared" ref="H127:N127" si="14">H128+H129+H130+H131</f>
        <v>2</v>
      </c>
      <c r="I127" s="126">
        <f t="shared" si="14"/>
        <v>0</v>
      </c>
      <c r="J127" s="126">
        <f t="shared" si="14"/>
        <v>0</v>
      </c>
      <c r="K127" s="126">
        <f t="shared" si="14"/>
        <v>0</v>
      </c>
      <c r="L127" s="126">
        <f t="shared" si="14"/>
        <v>0</v>
      </c>
      <c r="M127" s="126">
        <f t="shared" si="14"/>
        <v>0.6</v>
      </c>
      <c r="N127" s="126">
        <f t="shared" si="14"/>
        <v>17</v>
      </c>
    </row>
    <row r="128" spans="1:14" s="121" customFormat="1" ht="18" x14ac:dyDescent="0.25">
      <c r="A128" s="399"/>
      <c r="B128" s="413"/>
      <c r="C128" s="416"/>
      <c r="D128" s="416"/>
      <c r="E128" s="370">
        <v>2016</v>
      </c>
      <c r="F128" s="370">
        <v>2013</v>
      </c>
      <c r="G128" s="126">
        <v>35</v>
      </c>
      <c r="H128" s="105"/>
      <c r="I128" s="105"/>
      <c r="J128" s="105"/>
      <c r="K128" s="105"/>
      <c r="L128" s="105"/>
      <c r="M128" s="105"/>
      <c r="N128" s="105">
        <v>11</v>
      </c>
    </row>
    <row r="129" spans="1:14" s="121" customFormat="1" ht="18" x14ac:dyDescent="0.25">
      <c r="A129" s="399"/>
      <c r="B129" s="413"/>
      <c r="C129" s="416"/>
      <c r="D129" s="416"/>
      <c r="E129" s="370">
        <v>2017</v>
      </c>
      <c r="F129" s="370">
        <v>2014</v>
      </c>
      <c r="G129" s="126">
        <v>10</v>
      </c>
      <c r="H129" s="105"/>
      <c r="I129" s="105"/>
      <c r="J129" s="105"/>
      <c r="K129" s="105"/>
      <c r="L129" s="105"/>
      <c r="M129" s="105"/>
      <c r="N129" s="105">
        <v>3</v>
      </c>
    </row>
    <row r="130" spans="1:14" s="121" customFormat="1" ht="18" x14ac:dyDescent="0.25">
      <c r="A130" s="399"/>
      <c r="B130" s="413"/>
      <c r="C130" s="416"/>
      <c r="D130" s="416"/>
      <c r="E130" s="370">
        <v>2018</v>
      </c>
      <c r="F130" s="370">
        <v>2015</v>
      </c>
      <c r="G130" s="126">
        <v>19</v>
      </c>
      <c r="H130" s="105">
        <v>2</v>
      </c>
      <c r="I130" s="105"/>
      <c r="J130" s="105"/>
      <c r="K130" s="105"/>
      <c r="L130" s="105"/>
      <c r="M130" s="105">
        <v>0.6</v>
      </c>
      <c r="N130" s="105">
        <v>3</v>
      </c>
    </row>
    <row r="131" spans="1:14" s="121" customFormat="1" ht="18" x14ac:dyDescent="0.25">
      <c r="A131" s="400"/>
      <c r="B131" s="413"/>
      <c r="C131" s="417"/>
      <c r="D131" s="417"/>
      <c r="E131" s="370">
        <v>2019</v>
      </c>
      <c r="F131" s="370">
        <v>2016</v>
      </c>
      <c r="G131" s="126"/>
      <c r="H131" s="105"/>
      <c r="I131" s="105"/>
      <c r="J131" s="105"/>
      <c r="K131" s="105"/>
      <c r="L131" s="105"/>
      <c r="M131" s="105"/>
      <c r="N131" s="105"/>
    </row>
    <row r="132" spans="1:14" s="127" customFormat="1" ht="33" customHeight="1" x14ac:dyDescent="0.25">
      <c r="A132" s="398">
        <v>26</v>
      </c>
      <c r="B132" s="412" t="s">
        <v>319</v>
      </c>
      <c r="C132" s="402" t="s">
        <v>323</v>
      </c>
      <c r="D132" s="418" t="s">
        <v>320</v>
      </c>
      <c r="E132" s="407" t="s">
        <v>267</v>
      </c>
      <c r="F132" s="408"/>
      <c r="G132" s="129"/>
      <c r="H132" s="129"/>
      <c r="I132" s="129"/>
      <c r="J132" s="129"/>
      <c r="K132" s="129"/>
      <c r="L132" s="129"/>
      <c r="M132" s="129"/>
      <c r="N132" s="129"/>
    </row>
    <row r="133" spans="1:14" s="127" customFormat="1" ht="18" x14ac:dyDescent="0.25">
      <c r="A133" s="399"/>
      <c r="B133" s="413"/>
      <c r="C133" s="403"/>
      <c r="D133" s="419"/>
      <c r="E133" s="370">
        <v>2016</v>
      </c>
      <c r="F133" s="370">
        <v>2013</v>
      </c>
      <c r="G133" s="129">
        <v>1.5</v>
      </c>
      <c r="H133" s="129">
        <v>6.0999999999999999E-2</v>
      </c>
      <c r="I133" s="129" t="s">
        <v>321</v>
      </c>
      <c r="J133" s="129" t="s">
        <v>322</v>
      </c>
      <c r="K133" s="129"/>
      <c r="L133" s="129"/>
      <c r="M133" s="129">
        <v>3.3700000000000001E-2</v>
      </c>
      <c r="N133" s="129">
        <v>1</v>
      </c>
    </row>
    <row r="134" spans="1:14" s="127" customFormat="1" ht="18" x14ac:dyDescent="0.25">
      <c r="A134" s="399"/>
      <c r="B134" s="413"/>
      <c r="C134" s="403"/>
      <c r="D134" s="419"/>
      <c r="E134" s="370">
        <v>2017</v>
      </c>
      <c r="F134" s="370">
        <v>2014</v>
      </c>
      <c r="G134" s="129" t="s">
        <v>320</v>
      </c>
      <c r="H134" s="129">
        <v>2.0799999999999999E-2</v>
      </c>
      <c r="I134" s="129" t="s">
        <v>321</v>
      </c>
      <c r="J134" s="129" t="s">
        <v>322</v>
      </c>
      <c r="K134" s="129"/>
      <c r="L134" s="129"/>
      <c r="M134" s="129">
        <v>0.121</v>
      </c>
      <c r="N134" s="129">
        <v>2</v>
      </c>
    </row>
    <row r="135" spans="1:14" s="127" customFormat="1" ht="18" x14ac:dyDescent="0.25">
      <c r="A135" s="399"/>
      <c r="B135" s="413"/>
      <c r="C135" s="403"/>
      <c r="D135" s="419"/>
      <c r="E135" s="370">
        <v>2018</v>
      </c>
      <c r="F135" s="370">
        <v>2015</v>
      </c>
      <c r="G135" s="129" t="s">
        <v>320</v>
      </c>
      <c r="H135" s="129">
        <v>0.46600000000000003</v>
      </c>
      <c r="I135" s="129" t="s">
        <v>321</v>
      </c>
      <c r="J135" s="129" t="s">
        <v>322</v>
      </c>
      <c r="K135" s="129"/>
      <c r="L135" s="129"/>
      <c r="M135" s="129">
        <v>0.26100000000000001</v>
      </c>
      <c r="N135" s="129">
        <v>1</v>
      </c>
    </row>
    <row r="136" spans="1:14" s="127" customFormat="1" ht="18" x14ac:dyDescent="0.25">
      <c r="A136" s="400"/>
      <c r="B136" s="413"/>
      <c r="C136" s="404"/>
      <c r="D136" s="420"/>
      <c r="E136" s="370">
        <v>2019</v>
      </c>
      <c r="F136" s="370">
        <v>2016</v>
      </c>
      <c r="G136" s="129" t="s">
        <v>320</v>
      </c>
      <c r="H136" s="129">
        <v>0.71499999999999997</v>
      </c>
      <c r="I136" s="129" t="s">
        <v>321</v>
      </c>
      <c r="J136" s="129" t="s">
        <v>322</v>
      </c>
      <c r="K136" s="129"/>
      <c r="L136" s="129"/>
      <c r="M136" s="129">
        <v>0.40200000000000002</v>
      </c>
      <c r="N136" s="129">
        <v>1</v>
      </c>
    </row>
    <row r="137" spans="1:14" s="127" customFormat="1" ht="33" customHeight="1" x14ac:dyDescent="0.25">
      <c r="A137" s="398">
        <v>27</v>
      </c>
      <c r="B137" s="413"/>
      <c r="C137" s="402" t="s">
        <v>324</v>
      </c>
      <c r="D137" s="415"/>
      <c r="E137" s="407" t="s">
        <v>267</v>
      </c>
      <c r="F137" s="408"/>
      <c r="G137" s="130">
        <v>5</v>
      </c>
      <c r="H137" s="126"/>
      <c r="I137" s="126"/>
      <c r="J137" s="126"/>
      <c r="K137" s="126"/>
      <c r="L137" s="126"/>
      <c r="M137" s="126"/>
      <c r="N137" s="126"/>
    </row>
    <row r="138" spans="1:14" s="127" customFormat="1" ht="18" x14ac:dyDescent="0.25">
      <c r="A138" s="399"/>
      <c r="B138" s="413"/>
      <c r="C138" s="403"/>
      <c r="D138" s="416"/>
      <c r="E138" s="370">
        <v>2016</v>
      </c>
      <c r="F138" s="370">
        <v>2013</v>
      </c>
      <c r="G138" s="126"/>
      <c r="H138" s="128"/>
      <c r="I138" s="128"/>
      <c r="J138" s="128"/>
      <c r="K138" s="128"/>
      <c r="L138" s="128"/>
      <c r="M138" s="128"/>
      <c r="N138" s="128"/>
    </row>
    <row r="139" spans="1:14" s="127" customFormat="1" ht="18" x14ac:dyDescent="0.25">
      <c r="A139" s="399"/>
      <c r="B139" s="413"/>
      <c r="C139" s="403"/>
      <c r="D139" s="416"/>
      <c r="E139" s="370">
        <v>2017</v>
      </c>
      <c r="F139" s="370">
        <v>2014</v>
      </c>
      <c r="G139" s="126"/>
      <c r="H139" s="128"/>
      <c r="I139" s="128"/>
      <c r="J139" s="128"/>
      <c r="K139" s="128"/>
      <c r="L139" s="128"/>
      <c r="M139" s="128"/>
      <c r="N139" s="128"/>
    </row>
    <row r="140" spans="1:14" s="127" customFormat="1" ht="18" x14ac:dyDescent="0.25">
      <c r="A140" s="399"/>
      <c r="B140" s="413"/>
      <c r="C140" s="403"/>
      <c r="D140" s="416"/>
      <c r="E140" s="370">
        <v>2018</v>
      </c>
      <c r="F140" s="370">
        <v>2015</v>
      </c>
      <c r="G140" s="126"/>
      <c r="H140" s="128"/>
      <c r="I140" s="128"/>
      <c r="J140" s="128"/>
      <c r="K140" s="128"/>
      <c r="L140" s="128"/>
      <c r="M140" s="128"/>
      <c r="N140" s="128"/>
    </row>
    <row r="141" spans="1:14" s="127" customFormat="1" ht="18" x14ac:dyDescent="0.25">
      <c r="A141" s="400"/>
      <c r="B141" s="413"/>
      <c r="C141" s="404"/>
      <c r="D141" s="417"/>
      <c r="E141" s="370">
        <v>2019</v>
      </c>
      <c r="F141" s="370">
        <v>2016</v>
      </c>
      <c r="G141" s="126"/>
      <c r="H141" s="128"/>
      <c r="I141" s="128"/>
      <c r="J141" s="128"/>
      <c r="K141" s="128"/>
      <c r="L141" s="128"/>
      <c r="M141" s="128"/>
      <c r="N141" s="128"/>
    </row>
    <row r="142" spans="1:14" s="127" customFormat="1" ht="33" customHeight="1" x14ac:dyDescent="0.25">
      <c r="A142" s="398">
        <v>28</v>
      </c>
      <c r="B142" s="413"/>
      <c r="C142" s="402" t="s">
        <v>325</v>
      </c>
      <c r="D142" s="415"/>
      <c r="E142" s="407" t="s">
        <v>267</v>
      </c>
      <c r="F142" s="408"/>
      <c r="G142" s="130">
        <v>1</v>
      </c>
      <c r="H142" s="126"/>
      <c r="I142" s="126"/>
      <c r="J142" s="126"/>
      <c r="K142" s="126"/>
      <c r="L142" s="126"/>
      <c r="M142" s="126"/>
      <c r="N142" s="126"/>
    </row>
    <row r="143" spans="1:14" s="127" customFormat="1" ht="18" x14ac:dyDescent="0.25">
      <c r="A143" s="399"/>
      <c r="B143" s="413"/>
      <c r="C143" s="403"/>
      <c r="D143" s="416"/>
      <c r="E143" s="370">
        <v>2016</v>
      </c>
      <c r="F143" s="370">
        <v>2013</v>
      </c>
      <c r="G143" s="126"/>
      <c r="H143" s="128"/>
      <c r="I143" s="128"/>
      <c r="J143" s="128"/>
      <c r="K143" s="128"/>
      <c r="L143" s="128"/>
      <c r="M143" s="128"/>
      <c r="N143" s="128"/>
    </row>
    <row r="144" spans="1:14" s="127" customFormat="1" ht="18" x14ac:dyDescent="0.25">
      <c r="A144" s="399"/>
      <c r="B144" s="413"/>
      <c r="C144" s="403"/>
      <c r="D144" s="416"/>
      <c r="E144" s="370">
        <v>2017</v>
      </c>
      <c r="F144" s="370">
        <v>2014</v>
      </c>
      <c r="G144" s="126"/>
      <c r="H144" s="128"/>
      <c r="I144" s="128"/>
      <c r="J144" s="128"/>
      <c r="K144" s="128"/>
      <c r="L144" s="128"/>
      <c r="M144" s="128"/>
      <c r="N144" s="128"/>
    </row>
    <row r="145" spans="1:14" s="127" customFormat="1" ht="18" x14ac:dyDescent="0.25">
      <c r="A145" s="399"/>
      <c r="B145" s="413"/>
      <c r="C145" s="403"/>
      <c r="D145" s="416"/>
      <c r="E145" s="370">
        <v>2018</v>
      </c>
      <c r="F145" s="370">
        <v>2015</v>
      </c>
      <c r="G145" s="126"/>
      <c r="H145" s="128"/>
      <c r="I145" s="128"/>
      <c r="J145" s="128"/>
      <c r="K145" s="128"/>
      <c r="L145" s="128"/>
      <c r="M145" s="128"/>
      <c r="N145" s="128"/>
    </row>
    <row r="146" spans="1:14" s="127" customFormat="1" ht="18" x14ac:dyDescent="0.25">
      <c r="A146" s="400"/>
      <c r="B146" s="414"/>
      <c r="C146" s="404"/>
      <c r="D146" s="417"/>
      <c r="E146" s="370">
        <v>2019</v>
      </c>
      <c r="F146" s="370">
        <v>2016</v>
      </c>
      <c r="G146" s="126"/>
      <c r="H146" s="128"/>
      <c r="I146" s="128"/>
      <c r="J146" s="128"/>
      <c r="K146" s="128"/>
      <c r="L146" s="128"/>
      <c r="M146" s="128"/>
      <c r="N146" s="128"/>
    </row>
    <row r="147" spans="1:14" s="104" customFormat="1" ht="30" customHeight="1" x14ac:dyDescent="0.2">
      <c r="A147" s="440" t="s">
        <v>222</v>
      </c>
      <c r="B147" s="441"/>
      <c r="C147" s="441"/>
      <c r="D147" s="441"/>
      <c r="E147" s="441"/>
      <c r="F147" s="442"/>
      <c r="G147" s="92"/>
      <c r="H147" s="92"/>
      <c r="I147" s="96"/>
      <c r="J147" s="96"/>
      <c r="K147" s="96"/>
      <c r="L147" s="96"/>
      <c r="M147" s="92"/>
      <c r="N147" s="92"/>
    </row>
    <row r="148" spans="1:14" s="104" customFormat="1" ht="27.75" customHeight="1" x14ac:dyDescent="0.2">
      <c r="A148" s="440" t="s">
        <v>223</v>
      </c>
      <c r="B148" s="441"/>
      <c r="C148" s="441"/>
      <c r="D148" s="441"/>
      <c r="E148" s="441"/>
      <c r="F148" s="442"/>
      <c r="G148" s="92"/>
      <c r="H148" s="92"/>
      <c r="I148" s="96"/>
      <c r="J148" s="96"/>
      <c r="K148" s="96"/>
      <c r="L148" s="96"/>
      <c r="M148" s="92"/>
      <c r="N148" s="92"/>
    </row>
  </sheetData>
  <mergeCells count="244">
    <mergeCell ref="A67:A71"/>
    <mergeCell ref="C67:C71"/>
    <mergeCell ref="D67:D71"/>
    <mergeCell ref="E67:F67"/>
    <mergeCell ref="E68:F68"/>
    <mergeCell ref="E69:F69"/>
    <mergeCell ref="E70:F70"/>
    <mergeCell ref="E71:F71"/>
    <mergeCell ref="B7:B76"/>
    <mergeCell ref="A72:A76"/>
    <mergeCell ref="C72:C76"/>
    <mergeCell ref="D72:D76"/>
    <mergeCell ref="E72:F72"/>
    <mergeCell ref="E73:F73"/>
    <mergeCell ref="E74:F74"/>
    <mergeCell ref="E75:F75"/>
    <mergeCell ref="E76:F76"/>
    <mergeCell ref="D32:D36"/>
    <mergeCell ref="E32:F32"/>
    <mergeCell ref="E33:F33"/>
    <mergeCell ref="E34:F34"/>
    <mergeCell ref="E35:F35"/>
    <mergeCell ref="E36:F36"/>
    <mergeCell ref="A37:A41"/>
    <mergeCell ref="A147:F147"/>
    <mergeCell ref="A148:F148"/>
    <mergeCell ref="A7:A11"/>
    <mergeCell ref="E11:F11"/>
    <mergeCell ref="C7:C11"/>
    <mergeCell ref="D7:D11"/>
    <mergeCell ref="E10:F10"/>
    <mergeCell ref="E124:F124"/>
    <mergeCell ref="E125:F125"/>
    <mergeCell ref="E7:F7"/>
    <mergeCell ref="A12:A16"/>
    <mergeCell ref="C12:C16"/>
    <mergeCell ref="D12:D16"/>
    <mergeCell ref="E12:F12"/>
    <mergeCell ref="E13:F13"/>
    <mergeCell ref="E14:F14"/>
    <mergeCell ref="E15:F15"/>
    <mergeCell ref="E16:F16"/>
    <mergeCell ref="A137:A141"/>
    <mergeCell ref="D137:D141"/>
    <mergeCell ref="E137:F137"/>
    <mergeCell ref="E141:F141"/>
    <mergeCell ref="C87:C91"/>
    <mergeCell ref="A32:A36"/>
    <mergeCell ref="M1:N1"/>
    <mergeCell ref="A3:N3"/>
    <mergeCell ref="M5:M6"/>
    <mergeCell ref="A5:A6"/>
    <mergeCell ref="D5:D6"/>
    <mergeCell ref="H5:H6"/>
    <mergeCell ref="N5:N6"/>
    <mergeCell ref="G5:G6"/>
    <mergeCell ref="I5:L5"/>
    <mergeCell ref="B5:B6"/>
    <mergeCell ref="C5:C6"/>
    <mergeCell ref="E5:F6"/>
    <mergeCell ref="A62:A66"/>
    <mergeCell ref="D62:D66"/>
    <mergeCell ref="E62:F62"/>
    <mergeCell ref="E63:F63"/>
    <mergeCell ref="E64:F64"/>
    <mergeCell ref="E65:F65"/>
    <mergeCell ref="E66:F66"/>
    <mergeCell ref="A57:A61"/>
    <mergeCell ref="D57:D61"/>
    <mergeCell ref="E57:F57"/>
    <mergeCell ref="E58:F58"/>
    <mergeCell ref="E59:F59"/>
    <mergeCell ref="E60:F60"/>
    <mergeCell ref="E61:F61"/>
    <mergeCell ref="C62:C66"/>
    <mergeCell ref="C57:C61"/>
    <mergeCell ref="A87:A91"/>
    <mergeCell ref="D87:D91"/>
    <mergeCell ref="E87:F87"/>
    <mergeCell ref="E88:F88"/>
    <mergeCell ref="E89:F89"/>
    <mergeCell ref="E90:F90"/>
    <mergeCell ref="E91:F91"/>
    <mergeCell ref="B77:B91"/>
    <mergeCell ref="A97:A101"/>
    <mergeCell ref="C97:C101"/>
    <mergeCell ref="D97:D101"/>
    <mergeCell ref="A92:A96"/>
    <mergeCell ref="D92:D96"/>
    <mergeCell ref="E94:F94"/>
    <mergeCell ref="E96:F96"/>
    <mergeCell ref="C92:C96"/>
    <mergeCell ref="E97:F97"/>
    <mergeCell ref="E98:F98"/>
    <mergeCell ref="E99:F99"/>
    <mergeCell ref="E100:F100"/>
    <mergeCell ref="E101:F101"/>
    <mergeCell ref="E92:F92"/>
    <mergeCell ref="E93:F93"/>
    <mergeCell ref="A82:A86"/>
    <mergeCell ref="E109:F109"/>
    <mergeCell ref="E110:F110"/>
    <mergeCell ref="E111:F111"/>
    <mergeCell ref="B107:B131"/>
    <mergeCell ref="E119:F119"/>
    <mergeCell ref="E120:F120"/>
    <mergeCell ref="E121:F121"/>
    <mergeCell ref="D112:D116"/>
    <mergeCell ref="E112:F112"/>
    <mergeCell ref="E113:F113"/>
    <mergeCell ref="E114:F114"/>
    <mergeCell ref="E115:F115"/>
    <mergeCell ref="E116:F116"/>
    <mergeCell ref="D122:D126"/>
    <mergeCell ref="E122:F122"/>
    <mergeCell ref="E123:F123"/>
    <mergeCell ref="E126:F126"/>
    <mergeCell ref="D127:D131"/>
    <mergeCell ref="E127:F127"/>
    <mergeCell ref="E128:F128"/>
    <mergeCell ref="E129:F129"/>
    <mergeCell ref="I62:I66"/>
    <mergeCell ref="I37:I41"/>
    <mergeCell ref="E44:F44"/>
    <mergeCell ref="E43:F43"/>
    <mergeCell ref="E42:F42"/>
    <mergeCell ref="I7:I11"/>
    <mergeCell ref="E8:F8"/>
    <mergeCell ref="E9:F9"/>
    <mergeCell ref="E108:F108"/>
    <mergeCell ref="E40:F40"/>
    <mergeCell ref="E39:F39"/>
    <mergeCell ref="E38:F38"/>
    <mergeCell ref="E37:F37"/>
    <mergeCell ref="E41:F41"/>
    <mergeCell ref="I12:I16"/>
    <mergeCell ref="E45:F45"/>
    <mergeCell ref="C17:C21"/>
    <mergeCell ref="E17:F17"/>
    <mergeCell ref="E18:F18"/>
    <mergeCell ref="E19:F19"/>
    <mergeCell ref="E20:F20"/>
    <mergeCell ref="E21:F21"/>
    <mergeCell ref="I57:I61"/>
    <mergeCell ref="C37:C41"/>
    <mergeCell ref="D37:D41"/>
    <mergeCell ref="C32:C36"/>
    <mergeCell ref="E132:F132"/>
    <mergeCell ref="E136:F136"/>
    <mergeCell ref="D132:D136"/>
    <mergeCell ref="E134:F134"/>
    <mergeCell ref="E133:F133"/>
    <mergeCell ref="E95:F95"/>
    <mergeCell ref="B92:B106"/>
    <mergeCell ref="A142:A146"/>
    <mergeCell ref="C142:C146"/>
    <mergeCell ref="A127:A131"/>
    <mergeCell ref="C127:C131"/>
    <mergeCell ref="A112:A116"/>
    <mergeCell ref="C112:C116"/>
    <mergeCell ref="A117:A121"/>
    <mergeCell ref="C117:C121"/>
    <mergeCell ref="A122:A126"/>
    <mergeCell ref="C122:C126"/>
    <mergeCell ref="A107:A111"/>
    <mergeCell ref="C107:C111"/>
    <mergeCell ref="D117:D121"/>
    <mergeCell ref="E117:F117"/>
    <mergeCell ref="E118:F118"/>
    <mergeCell ref="D107:D111"/>
    <mergeCell ref="E107:F107"/>
    <mergeCell ref="A102:A106"/>
    <mergeCell ref="C102:C106"/>
    <mergeCell ref="D102:D106"/>
    <mergeCell ref="E102:F102"/>
    <mergeCell ref="E103:F103"/>
    <mergeCell ref="E104:F104"/>
    <mergeCell ref="E105:F105"/>
    <mergeCell ref="E106:F106"/>
    <mergeCell ref="C137:C141"/>
    <mergeCell ref="E138:F138"/>
    <mergeCell ref="E139:F139"/>
    <mergeCell ref="E140:F140"/>
    <mergeCell ref="B132:B146"/>
    <mergeCell ref="D142:D146"/>
    <mergeCell ref="E142:F142"/>
    <mergeCell ref="E146:F146"/>
    <mergeCell ref="E143:F143"/>
    <mergeCell ref="E144:F144"/>
    <mergeCell ref="E145:F145"/>
    <mergeCell ref="E130:F130"/>
    <mergeCell ref="E131:F131"/>
    <mergeCell ref="A132:A136"/>
    <mergeCell ref="C132:C136"/>
    <mergeCell ref="E135:F135"/>
    <mergeCell ref="A27:A31"/>
    <mergeCell ref="C27:C31"/>
    <mergeCell ref="E27:F27"/>
    <mergeCell ref="E28:F28"/>
    <mergeCell ref="E29:F29"/>
    <mergeCell ref="E30:F30"/>
    <mergeCell ref="E31:F31"/>
    <mergeCell ref="A22:A26"/>
    <mergeCell ref="C22:C26"/>
    <mergeCell ref="E22:F22"/>
    <mergeCell ref="E23:F23"/>
    <mergeCell ref="E24:F24"/>
    <mergeCell ref="E25:F25"/>
    <mergeCell ref="E26:F26"/>
    <mergeCell ref="D17:D31"/>
    <mergeCell ref="A17:A21"/>
    <mergeCell ref="A47:A51"/>
    <mergeCell ref="C47:C51"/>
    <mergeCell ref="E47:F47"/>
    <mergeCell ref="E48:F48"/>
    <mergeCell ref="E49:F49"/>
    <mergeCell ref="E50:F50"/>
    <mergeCell ref="E51:F51"/>
    <mergeCell ref="D42:D56"/>
    <mergeCell ref="A52:A56"/>
    <mergeCell ref="C52:C56"/>
    <mergeCell ref="E52:F52"/>
    <mergeCell ref="E53:F53"/>
    <mergeCell ref="E54:F54"/>
    <mergeCell ref="E55:F55"/>
    <mergeCell ref="E56:F56"/>
    <mergeCell ref="A42:A46"/>
    <mergeCell ref="C42:C46"/>
    <mergeCell ref="E46:F46"/>
    <mergeCell ref="C82:C86"/>
    <mergeCell ref="D82:D86"/>
    <mergeCell ref="E82:F82"/>
    <mergeCell ref="E83:F83"/>
    <mergeCell ref="E84:F84"/>
    <mergeCell ref="E85:F85"/>
    <mergeCell ref="E86:F86"/>
    <mergeCell ref="A77:A81"/>
    <mergeCell ref="C77:C81"/>
    <mergeCell ref="D77:D81"/>
    <mergeCell ref="E77:F77"/>
    <mergeCell ref="E78:F78"/>
    <mergeCell ref="E79:F79"/>
    <mergeCell ref="E80:F80"/>
    <mergeCell ref="E81:F81"/>
  </mergeCells>
  <phoneticPr fontId="14" type="noConversion"/>
  <printOptions horizontalCentered="1"/>
  <pageMargins left="0.22047244094488191" right="0.19685039370078741" top="0.98425196850393704" bottom="0.98425196850393704" header="0.51181102362204722" footer="0.51181102362204722"/>
  <pageSetup paperSize="9" scale="53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7</vt:i4>
      </vt:variant>
    </vt:vector>
  </HeadingPairs>
  <TitlesOfParts>
    <vt:vector size="12" baseType="lpstr">
      <vt:lpstr>Прогноз 2015 </vt:lpstr>
      <vt:lpstr>Прил 3 (расчет ИФО) (2)</vt:lpstr>
      <vt:lpstr>Прил 4 (показатели предприятий)</vt:lpstr>
      <vt:lpstr>Прил 5 Прогноз по поселениям</vt:lpstr>
      <vt:lpstr>Прил 6 Инвестпроекты</vt:lpstr>
      <vt:lpstr>'Прил 3 (расчет ИФО) (2)'!Заголовки_для_печати</vt:lpstr>
      <vt:lpstr>'Прил 5 Прогноз по поселениям'!Заголовки_для_печати</vt:lpstr>
      <vt:lpstr>'Прогноз 2015 '!Заголовки_для_печати</vt:lpstr>
      <vt:lpstr>'Прил 3 (расчет ИФО) (2)'!Область_печати</vt:lpstr>
      <vt:lpstr>'Прил 4 (показатели предприятий)'!Область_печати</vt:lpstr>
      <vt:lpstr>'Прил 6 Инвестпроекты'!Область_печати</vt:lpstr>
      <vt:lpstr>'Прогноз 2015 '!Область_печати</vt:lpstr>
    </vt:vector>
  </TitlesOfParts>
  <Company>AoIR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Костюнина Нина Александровна</cp:lastModifiedBy>
  <cp:lastPrinted>2016-07-20T07:19:35Z</cp:lastPrinted>
  <dcterms:created xsi:type="dcterms:W3CDTF">2006-03-06T08:26:24Z</dcterms:created>
  <dcterms:modified xsi:type="dcterms:W3CDTF">2016-07-26T02:00:42Z</dcterms:modified>
</cp:coreProperties>
</file>